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445" activeTab="0"/>
  </bookViews>
  <sheets>
    <sheet name="Transformation 35%c" sheetId="1" r:id="rId1"/>
    <sheet name="Erdbewegung" sheetId="2" r:id="rId2"/>
  </sheets>
  <definedNames>
    <definedName name="_xlnm.Print_Area" localSheetId="1">'Erdbewegung'!$A$1:$Q$28</definedName>
    <definedName name="_xlnm.Print_Area" localSheetId="0">'Transformation 35%c'!$A$1:$Q$28</definedName>
  </definedNames>
  <calcPr fullCalcOnLoad="1"/>
</workbook>
</file>

<file path=xl/sharedStrings.xml><?xml version="1.0" encoding="utf-8"?>
<sst xmlns="http://schemas.openxmlformats.org/spreadsheetml/2006/main" count="276" uniqueCount="120">
  <si>
    <t>c</t>
  </si>
  <si>
    <t>v</t>
  </si>
  <si>
    <r>
      <t>l</t>
    </r>
    <r>
      <rPr>
        <vertAlign val="subscript"/>
        <sz val="11"/>
        <rFont val="Arial"/>
        <family val="2"/>
      </rPr>
      <t>0</t>
    </r>
  </si>
  <si>
    <t>Geschwindigkeit</t>
  </si>
  <si>
    <t>Senkrecht zur Bewegung</t>
  </si>
  <si>
    <t>Parallel zur Bewegung</t>
  </si>
  <si>
    <t>Bewegtes System</t>
  </si>
  <si>
    <t>Formel</t>
  </si>
  <si>
    <t>Wert</t>
  </si>
  <si>
    <t xml:space="preserve">Wert </t>
  </si>
  <si>
    <t>Kurzform</t>
  </si>
  <si>
    <t>Lichtgeschwindigkeit</t>
  </si>
  <si>
    <t>Länge</t>
  </si>
  <si>
    <t>Strahlstrecke hin</t>
  </si>
  <si>
    <t>Strahlstrecke her</t>
  </si>
  <si>
    <t>Strahllaufzeit hin</t>
  </si>
  <si>
    <t>Relatives c in Strahlrichtung</t>
  </si>
  <si>
    <t>Relatives c entgegen Strahlrichtung</t>
  </si>
  <si>
    <r>
      <t xml:space="preserve">Wellenlänge </t>
    </r>
    <r>
      <rPr>
        <sz val="11"/>
        <rFont val="Arial"/>
        <family val="2"/>
      </rPr>
      <t>λ</t>
    </r>
    <r>
      <rPr>
        <sz val="8.25"/>
        <rFont val="Arial"/>
        <family val="0"/>
      </rPr>
      <t xml:space="preserve"> </t>
    </r>
    <r>
      <rPr>
        <sz val="11"/>
        <rFont val="Arial"/>
        <family val="0"/>
      </rPr>
      <t>hin</t>
    </r>
  </si>
  <si>
    <t>Anzahl Wellenmaxima hin und her</t>
  </si>
  <si>
    <t>Strahllaufzeit her</t>
  </si>
  <si>
    <r>
      <t xml:space="preserve">Wellenlänge </t>
    </r>
    <r>
      <rPr>
        <sz val="11"/>
        <rFont val="Arial"/>
        <family val="2"/>
      </rPr>
      <t>λ</t>
    </r>
    <r>
      <rPr>
        <sz val="8.25"/>
        <rFont val="Arial"/>
        <family val="0"/>
      </rPr>
      <t xml:space="preserve"> </t>
    </r>
    <r>
      <rPr>
        <sz val="11"/>
        <rFont val="Arial"/>
        <family val="0"/>
      </rPr>
      <t>her</t>
    </r>
  </si>
  <si>
    <t>Anzahl Wellenmaxima hin</t>
  </si>
  <si>
    <t>Anzahl Wellenmaxima her</t>
  </si>
  <si>
    <r>
      <t xml:space="preserve">Korrekturfaktor </t>
    </r>
    <r>
      <rPr>
        <sz val="11"/>
        <rFont val="Symbol"/>
        <family val="1"/>
      </rPr>
      <t>g</t>
    </r>
  </si>
  <si>
    <t>Strahlstrecke hin und her</t>
  </si>
  <si>
    <r>
      <t>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</si>
  <si>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</si>
  <si>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</si>
  <si>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</si>
  <si>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g</t>
    </r>
    <r>
      <rPr>
        <sz val="11"/>
        <rFont val="Arial"/>
        <family val="0"/>
      </rPr>
      <t>=1/</t>
    </r>
    <r>
      <rPr>
        <sz val="11"/>
        <rFont val="Courier New"/>
        <family val="0"/>
      </rPr>
      <t>√</t>
    </r>
    <r>
      <rPr>
        <sz val="11"/>
        <rFont val="Arial"/>
        <family val="2"/>
      </rPr>
      <t>(1-v²/c²)</t>
    </r>
  </si>
  <si>
    <r>
      <t>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</si>
  <si>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</si>
  <si>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</si>
  <si>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1</t>
    </r>
  </si>
  <si>
    <r>
      <t>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</si>
  <si>
    <r>
      <t>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=c/λ</t>
    </r>
    <r>
      <rPr>
        <vertAlign val="subscript"/>
        <sz val="11"/>
        <rFont val="Arial"/>
        <family val="2"/>
      </rPr>
      <t>1</t>
    </r>
  </si>
  <si>
    <r>
      <t>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/c</t>
    </r>
  </si>
  <si>
    <r>
      <t>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</si>
  <si>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</si>
  <si>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=c-v</t>
    </r>
  </si>
  <si>
    <r>
      <t>c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=c+v</t>
    </r>
  </si>
  <si>
    <t>Relatives c in beide Richtungen</t>
  </si>
  <si>
    <r>
      <t>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>=c</t>
    </r>
  </si>
  <si>
    <r>
      <t>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*1/(1-v²/c²)</t>
    </r>
  </si>
  <si>
    <r>
      <t>c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=c*(1-v²/c²)</t>
    </r>
  </si>
  <si>
    <r>
      <t>t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</si>
  <si>
    <r>
      <t>t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</si>
  <si>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</si>
  <si>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=(c-v)*</t>
    </r>
    <r>
      <rPr>
        <sz val="11"/>
        <rFont val="Symbol"/>
        <family val="1"/>
      </rPr>
      <t>g</t>
    </r>
    <r>
      <rPr>
        <sz val="11"/>
        <rFont val="Arial"/>
        <family val="2"/>
      </rPr>
      <t>²</t>
    </r>
  </si>
  <si>
    <r>
      <t>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</si>
  <si>
    <r>
      <t>c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=c</t>
    </r>
  </si>
  <si>
    <r>
      <t>s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</si>
  <si>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</si>
  <si>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</si>
  <si>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N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=N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M2</t>
    </r>
  </si>
  <si>
    <r>
      <t>λ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M1</t>
    </r>
  </si>
  <si>
    <r>
      <t>λ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M2</t>
    </r>
  </si>
  <si>
    <r>
      <t>t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</si>
  <si>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t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/2</t>
    </r>
  </si>
  <si>
    <r>
      <t>c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H1</t>
    </r>
  </si>
  <si>
    <r>
      <t>c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H2</t>
    </r>
  </si>
  <si>
    <r>
      <t>c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H</t>
    </r>
  </si>
  <si>
    <r>
      <t>N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</si>
  <si>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/c</t>
    </r>
  </si>
  <si>
    <r>
      <t>λ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</si>
  <si>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</si>
  <si>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</si>
  <si>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λ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=λ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</si>
  <si>
    <r>
      <t>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</si>
  <si>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</si>
  <si>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</si>
  <si>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</si>
  <si>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</si>
  <si>
    <r>
      <t>t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</si>
  <si>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2"/>
      </rPr>
      <t>/</t>
    </r>
    <r>
      <rPr>
        <sz val="11"/>
        <rFont val="Symbol"/>
        <family val="1"/>
      </rPr>
      <t>g</t>
    </r>
  </si>
  <si>
    <r>
      <t>c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T1</t>
    </r>
  </si>
  <si>
    <r>
      <t>c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T2</t>
    </r>
  </si>
  <si>
    <r>
      <t>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</si>
  <si>
    <r>
      <t>N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=N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T2</t>
    </r>
  </si>
  <si>
    <r>
      <t>c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=c</t>
    </r>
  </si>
  <si>
    <r>
      <t>c</t>
    </r>
    <r>
      <rPr>
        <vertAlign val="subscript"/>
        <sz val="11"/>
        <rFont val="Arial"/>
        <family val="2"/>
      </rPr>
      <t>1</t>
    </r>
    <r>
      <rPr>
        <sz val="11"/>
        <rFont val="Arial"/>
        <family val="0"/>
      </rPr>
      <t>=c</t>
    </r>
  </si>
  <si>
    <r>
      <t>c</t>
    </r>
    <r>
      <rPr>
        <vertAlign val="subscript"/>
        <sz val="11"/>
        <rFont val="Arial"/>
        <family val="2"/>
      </rPr>
      <t>2</t>
    </r>
    <r>
      <rPr>
        <sz val="11"/>
        <rFont val="Arial"/>
        <family val="0"/>
      </rPr>
      <t>=c</t>
    </r>
  </si>
  <si>
    <r>
      <t xml:space="preserve">Emissionsfrequenz f </t>
    </r>
    <r>
      <rPr>
        <sz val="11"/>
        <rFont val="Courier New"/>
        <family val="0"/>
      </rPr>
      <t xml:space="preserve">≠ </t>
    </r>
    <r>
      <rPr>
        <sz val="11"/>
        <rFont val="Arial"/>
        <family val="2"/>
      </rPr>
      <t>Dopplerfrequenz</t>
    </r>
  </si>
  <si>
    <r>
      <t>t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/(2c)</t>
    </r>
  </si>
  <si>
    <r>
      <t>t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/(2c)</t>
    </r>
  </si>
  <si>
    <r>
      <t>N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1</t>
    </r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</si>
  <si>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2</t>
    </r>
  </si>
  <si>
    <t>Strahllaufzeit hin und her</t>
  </si>
  <si>
    <t>Beispiel: Erdbewegung mit 650km/s</t>
  </si>
  <si>
    <t>Beispiel: 35% Lichtgeschwindigkeit</t>
  </si>
  <si>
    <r>
      <t>N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(c+v)*1/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</si>
  <si>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M1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(c-v)*1/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</si>
  <si>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(c-v)*1/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</si>
  <si>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/c
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 (c+v)*1/</t>
    </r>
    <r>
      <rPr>
        <sz val="11"/>
        <rFont val="Symbol"/>
        <family val="1"/>
      </rPr>
      <t></t>
    </r>
    <r>
      <rPr>
        <sz val="11"/>
        <rFont val="Arial"/>
        <family val="2"/>
      </rPr>
      <t>²</t>
    </r>
  </si>
  <si>
    <r>
      <t>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0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0"/>
      </rPr>
      <t>*</t>
    </r>
    <r>
      <rPr>
        <sz val="11"/>
        <rFont val="Symbol"/>
        <family val="1"/>
      </rPr>
      <t>g</t>
    </r>
    <r>
      <rPr>
        <sz val="11"/>
        <rFont val="Arial"/>
        <family val="0"/>
      </rPr>
      <t>=l</t>
    </r>
    <r>
      <rPr>
        <vertAlign val="subscript"/>
        <sz val="11"/>
        <rFont val="Arial"/>
        <family val="2"/>
      </rPr>
      <t>0</t>
    </r>
  </si>
  <si>
    <r>
      <t>s</t>
    </r>
    <r>
      <rPr>
        <vertAlign val="subscript"/>
        <sz val="11"/>
        <rFont val="Arial"/>
        <family val="2"/>
      </rPr>
      <t>H</t>
    </r>
    <r>
      <rPr>
        <sz val="11"/>
        <rFont val="Arial"/>
        <family val="0"/>
      </rPr>
      <t>= s</t>
    </r>
    <r>
      <rPr>
        <vertAlign val="subscript"/>
        <sz val="11"/>
        <rFont val="Arial"/>
        <family val="2"/>
      </rPr>
      <t>H1</t>
    </r>
    <r>
      <rPr>
        <sz val="11"/>
        <rFont val="Arial"/>
        <family val="0"/>
      </rPr>
      <t>+s</t>
    </r>
    <r>
      <rPr>
        <vertAlign val="subscript"/>
        <sz val="11"/>
        <rFont val="Arial"/>
        <family val="2"/>
      </rPr>
      <t>H2</t>
    </r>
    <r>
      <rPr>
        <sz val="11"/>
        <rFont val="Arial"/>
        <family val="0"/>
      </rPr>
      <t xml:space="preserve"> 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>*</t>
    </r>
    <r>
      <rPr>
        <sz val="11"/>
        <rFont val="Symbol"/>
        <family val="1"/>
      </rPr>
      <t>g</t>
    </r>
  </si>
  <si>
    <r>
      <t>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+t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v 
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*1/(1-v/c)</t>
    </r>
  </si>
  <si>
    <r>
      <t>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-t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v
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*1/(1+v/c)</t>
    </r>
  </si>
  <si>
    <r>
      <t>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</t>
    </r>
  </si>
  <si>
    <r>
      <t>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+t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*</t>
    </r>
    <r>
      <rPr>
        <sz val="11"/>
        <rFont val="Symbol"/>
        <family val="1"/>
      </rPr>
      <t>g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/c=
2l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/c*1/(1-v²/c²)
=2l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/c*</t>
    </r>
    <r>
      <rPr>
        <sz val="11"/>
        <rFont val="Symbol"/>
        <family val="1"/>
      </rPr>
      <t>g</t>
    </r>
  </si>
  <si>
    <r>
      <t>t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/(c-v)=s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/c</t>
    </r>
  </si>
  <si>
    <r>
      <t>t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/(c+v)=s</t>
    </r>
    <r>
      <rPr>
        <vertAlign val="subscript"/>
        <sz val="11"/>
        <rFont val="Arial"/>
        <family val="2"/>
      </rPr>
      <t>V2</t>
    </r>
    <r>
      <rPr>
        <sz val="11"/>
        <rFont val="Arial"/>
        <family val="2"/>
      </rPr>
      <t>/c</t>
    </r>
  </si>
  <si>
    <r>
      <t>c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=l</t>
    </r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/t</t>
    </r>
    <r>
      <rPr>
        <vertAlign val="subscript"/>
        <sz val="11"/>
        <rFont val="Arial"/>
        <family val="2"/>
      </rPr>
      <t>M2</t>
    </r>
    <r>
      <rPr>
        <sz val="11"/>
        <rFont val="Arial"/>
        <family val="2"/>
      </rPr>
      <t>=(c+v)*</t>
    </r>
    <r>
      <rPr>
        <sz val="11"/>
        <rFont val="Symbol"/>
        <family val="1"/>
      </rPr>
      <t>g</t>
    </r>
    <r>
      <rPr>
        <sz val="11"/>
        <rFont val="Arial"/>
        <family val="2"/>
      </rPr>
      <t>²</t>
    </r>
  </si>
  <si>
    <r>
      <t>N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2l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</si>
  <si>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0</t>
    </r>
  </si>
  <si>
    <r>
      <t>N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/c
=N</t>
    </r>
    <r>
      <rPr>
        <vertAlign val="subscript"/>
        <sz val="11"/>
        <rFont val="Arial"/>
        <family val="2"/>
      </rPr>
      <t>V1</t>
    </r>
    <r>
      <rPr>
        <sz val="11"/>
        <rFont val="Arial"/>
        <family val="2"/>
      </rPr>
      <t>+N</t>
    </r>
    <r>
      <rPr>
        <vertAlign val="subscript"/>
        <sz val="11"/>
        <rFont val="Arial"/>
        <family val="2"/>
      </rPr>
      <t>V2</t>
    </r>
  </si>
  <si>
    <r>
      <t>N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/c</t>
    </r>
  </si>
  <si>
    <r>
      <t>N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=f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*s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/c</t>
    </r>
  </si>
  <si>
    <r>
      <t>λ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T1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T1</t>
    </r>
  </si>
  <si>
    <r>
      <t>λ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=s</t>
    </r>
    <r>
      <rPr>
        <vertAlign val="subscript"/>
        <sz val="11"/>
        <rFont val="Arial"/>
        <family val="2"/>
      </rPr>
      <t>T2</t>
    </r>
    <r>
      <rPr>
        <sz val="11"/>
        <rFont val="Arial"/>
        <family val="2"/>
      </rPr>
      <t>/N</t>
    </r>
    <r>
      <rPr>
        <vertAlign val="subscript"/>
        <sz val="11"/>
        <rFont val="Arial"/>
        <family val="2"/>
      </rPr>
      <t>T2</t>
    </r>
  </si>
  <si>
    <t>Andreas Varesi</t>
  </si>
  <si>
    <t>Transformationstabelle zum Relativitäts-Äther-Dualismus</t>
  </si>
  <si>
    <t>Türkis hinterlegte Bereiche stehen für Transformationen die zu den selben Werten wie im ruhenden System führen</t>
  </si>
  <si>
    <t>In gelb hinterlegten Bereichen können freie Werte eingetragen werden</t>
  </si>
  <si>
    <r>
      <t xml:space="preserve">Ruhendes System </t>
    </r>
    <r>
      <rPr>
        <b/>
        <sz val="11"/>
        <rFont val="Courier"/>
        <family val="3"/>
      </rPr>
      <t>O</t>
    </r>
  </si>
  <si>
    <r>
      <t xml:space="preserve">Ruhender Betrachter </t>
    </r>
    <r>
      <rPr>
        <b/>
        <sz val="11"/>
        <rFont val="Courier"/>
        <family val="3"/>
      </rPr>
      <t>H</t>
    </r>
  </si>
  <si>
    <r>
      <t>Bewegter Betrachter</t>
    </r>
    <r>
      <rPr>
        <b/>
        <sz val="11"/>
        <rFont val="Courier"/>
        <family val="3"/>
      </rPr>
      <t xml:space="preserve"> T</t>
    </r>
  </si>
  <si>
    <r>
      <t xml:space="preserve">Ruhender Betrachter </t>
    </r>
    <r>
      <rPr>
        <b/>
        <sz val="11"/>
        <rFont val="Courier"/>
        <family val="3"/>
      </rPr>
      <t>V</t>
    </r>
  </si>
  <si>
    <r>
      <t xml:space="preserve">Bewegter Betrachter </t>
    </r>
    <r>
      <rPr>
        <b/>
        <sz val="11"/>
        <rFont val="Courier"/>
        <family val="3"/>
      </rPr>
      <t>M</t>
    </r>
  </si>
</sst>
</file>

<file path=xl/styles.xml><?xml version="1.0" encoding="utf-8"?>
<styleSheet xmlns="http://schemas.openxmlformats.org/spreadsheetml/2006/main">
  <numFmts count="68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.00&quot;*c&quot;"/>
    <numFmt numFmtId="165" formatCode="#,##0.00&quot;LY&quot;"/>
    <numFmt numFmtId="166" formatCode="#,##0.00&quot;Y&quot;"/>
    <numFmt numFmtId="167" formatCode="0.0"/>
    <numFmt numFmtId="168" formatCode="#,##0&quot;THz&quot;"/>
    <numFmt numFmtId="169" formatCode="#,##0.000000&quot;THz&quot;"/>
    <numFmt numFmtId="170" formatCode="#,##0.000000000&quot;THz&quot;"/>
    <numFmt numFmtId="171" formatCode="#,##0&quot;nm&quot;"/>
    <numFmt numFmtId="172" formatCode="#,##0&quot;km/s&quot;"/>
    <numFmt numFmtId="173" formatCode="#,##0.00&quot;nm&quot;"/>
    <numFmt numFmtId="174" formatCode="#,##0.0&quot;ns&quot;"/>
    <numFmt numFmtId="175" formatCode="#,##0&quot;km/h&quot;"/>
    <numFmt numFmtId="176" formatCode="0.000000E+00"/>
    <numFmt numFmtId="177" formatCode="0.000000000E+00"/>
    <numFmt numFmtId="178" formatCode="0.00000E+00"/>
    <numFmt numFmtId="179" formatCode="#,##0.000000000"/>
    <numFmt numFmtId="180" formatCode="0.0000%"/>
    <numFmt numFmtId="181" formatCode="0.000"/>
    <numFmt numFmtId="182" formatCode="0.0000000"/>
    <numFmt numFmtId="183" formatCode="0.000000000"/>
    <numFmt numFmtId="184" formatCode="0.0000000000000000000"/>
    <numFmt numFmtId="185" formatCode="#,##0.000&quot;µs&quot;"/>
    <numFmt numFmtId="186" formatCode="#,##0.000&quot;µm&quot;"/>
    <numFmt numFmtId="187" formatCode="#,##0.0&quot;µm&quot;"/>
    <numFmt numFmtId="188" formatCode="#,##0.00000000&quot;µs&quot;"/>
    <numFmt numFmtId="189" formatCode="#,##0&quot;m/s&quot;"/>
    <numFmt numFmtId="190" formatCode="0%&quot;c&quot;"/>
    <numFmt numFmtId="191" formatCode="#,##0.0000000&quot;m&quot;"/>
    <numFmt numFmtId="192" formatCode="0.0000E+00&quot;s&quot;"/>
    <numFmt numFmtId="193" formatCode="#,##0.000&quot;fs&quot;"/>
    <numFmt numFmtId="194" formatCode="#,##0.000000000&quot;m&quot;"/>
    <numFmt numFmtId="195" formatCode="0.0000"/>
    <numFmt numFmtId="196" formatCode="0.00000"/>
    <numFmt numFmtId="197" formatCode="0.000000"/>
    <numFmt numFmtId="198" formatCode="0.00000000"/>
    <numFmt numFmtId="199" formatCode="#,##0.000&quot;km&quot;"/>
    <numFmt numFmtId="200" formatCode="#,##0.000000&quot;m&quot;"/>
    <numFmt numFmtId="201" formatCode="#,##0.0000&quot;µm&quot;"/>
    <numFmt numFmtId="202" formatCode="#,##0.00000&quot;µm&quot;"/>
    <numFmt numFmtId="203" formatCode="#,##0.000000&quot;µm&quot;"/>
    <numFmt numFmtId="204" formatCode="#,##0.0000&quot;km&quot;"/>
    <numFmt numFmtId="205" formatCode="#,##0.00000&quot;km&quot;"/>
    <numFmt numFmtId="206" formatCode="#,##0.000000&quot;km&quot;"/>
    <numFmt numFmtId="207" formatCode="#,##0.0000&quot;µs&quot;"/>
    <numFmt numFmtId="208" formatCode="#,##0.00000&quot;µs&quot;"/>
    <numFmt numFmtId="209" formatCode="0.00000E+00&quot;s&quot;"/>
    <numFmt numFmtId="210" formatCode="0.000000E+00&quot;s&quot;"/>
    <numFmt numFmtId="211" formatCode="0.0000000E+00&quot;s&quot;"/>
    <numFmt numFmtId="212" formatCode="0.000E+00&quot;s&quot;"/>
    <numFmt numFmtId="213" formatCode="#,##0.000&quot;ns&quot;"/>
    <numFmt numFmtId="214" formatCode="[$-407]dddd\,\ d\.\ mmmm\ yyyy"/>
    <numFmt numFmtId="215" formatCode="#,##0&quot;°&quot;"/>
    <numFmt numFmtId="216" formatCode="0.0000E+00"/>
    <numFmt numFmtId="217" formatCode="0.000E+00"/>
    <numFmt numFmtId="218" formatCode="0.0E+00"/>
    <numFmt numFmtId="219" formatCode="0E+00"/>
    <numFmt numFmtId="220" formatCode="#,##0.0000"/>
    <numFmt numFmtId="221" formatCode="0.0%&quot;c&quot;"/>
    <numFmt numFmtId="222" formatCode="0.00%&quot;c&quot;"/>
    <numFmt numFmtId="223" formatCode="#,##0.0000000&quot;km&quot;"/>
  </numFmts>
  <fonts count="12">
    <font>
      <sz val="11"/>
      <name val="Arial"/>
      <family val="0"/>
    </font>
    <font>
      <vertAlign val="subscript"/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Symbol"/>
      <family val="1"/>
    </font>
    <font>
      <sz val="11"/>
      <name val="Courier New"/>
      <family val="0"/>
    </font>
    <font>
      <sz val="8.25"/>
      <name val="Arial"/>
      <family val="0"/>
    </font>
    <font>
      <sz val="12"/>
      <name val="Arial"/>
      <family val="0"/>
    </font>
    <font>
      <b/>
      <sz val="11"/>
      <name val="Courier"/>
      <family val="3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19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72" fontId="0" fillId="2" borderId="2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94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68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91" fontId="0" fillId="2" borderId="1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2" fontId="0" fillId="2" borderId="1" xfId="0" applyNumberFormat="1" applyFill="1" applyBorder="1" applyAlignment="1">
      <alignment vertical="center"/>
    </xf>
    <xf numFmtId="193" fontId="0" fillId="2" borderId="2" xfId="0" applyNumberFormat="1" applyFill="1" applyBorder="1" applyAlignment="1">
      <alignment vertical="center"/>
    </xf>
    <xf numFmtId="181" fontId="0" fillId="2" borderId="1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82" fontId="0" fillId="2" borderId="1" xfId="0" applyNumberFormat="1" applyFill="1" applyBorder="1" applyAlignment="1">
      <alignment vertic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91" fontId="0" fillId="2" borderId="1" xfId="0" applyNumberFormat="1" applyFill="1" applyBorder="1" applyAlignment="1">
      <alignment/>
    </xf>
    <xf numFmtId="190" fontId="0" fillId="2" borderId="2" xfId="19" applyNumberFormat="1" applyFill="1" applyBorder="1" applyAlignment="1">
      <alignment vertical="center"/>
    </xf>
    <xf numFmtId="0" fontId="9" fillId="4" borderId="0" xfId="0" applyFont="1" applyFill="1" applyAlignment="1">
      <alignment/>
    </xf>
    <xf numFmtId="0" fontId="0" fillId="4" borderId="6" xfId="0" applyFill="1" applyBorder="1" applyAlignment="1">
      <alignment/>
    </xf>
    <xf numFmtId="0" fontId="0" fillId="5" borderId="1" xfId="0" applyFill="1" applyBorder="1" applyAlignment="1">
      <alignment vertical="center"/>
    </xf>
    <xf numFmtId="191" fontId="0" fillId="5" borderId="1" xfId="0" applyNumberFormat="1" applyFill="1" applyBorder="1" applyAlignment="1">
      <alignment vertical="center"/>
    </xf>
    <xf numFmtId="186" fontId="0" fillId="5" borderId="2" xfId="0" applyNumberFormat="1" applyFill="1" applyBorder="1" applyAlignment="1">
      <alignment vertical="center"/>
    </xf>
    <xf numFmtId="192" fontId="0" fillId="5" borderId="1" xfId="0" applyNumberFormat="1" applyFill="1" applyBorder="1" applyAlignment="1">
      <alignment vertical="center"/>
    </xf>
    <xf numFmtId="193" fontId="0" fillId="5" borderId="2" xfId="0" applyNumberFormat="1" applyFill="1" applyBorder="1" applyAlignment="1">
      <alignment vertical="center"/>
    </xf>
    <xf numFmtId="189" fontId="0" fillId="5" borderId="1" xfId="0" applyNumberFormat="1" applyFill="1" applyBorder="1" applyAlignment="1">
      <alignment vertical="center"/>
    </xf>
    <xf numFmtId="168" fontId="0" fillId="5" borderId="2" xfId="0" applyNumberFormat="1" applyFill="1" applyBorder="1" applyAlignment="1">
      <alignment vertical="center"/>
    </xf>
    <xf numFmtId="181" fontId="0" fillId="5" borderId="1" xfId="0" applyNumberForma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71" fontId="0" fillId="5" borderId="2" xfId="0" applyNumberFormat="1" applyFill="1" applyBorder="1" applyAlignment="1">
      <alignment vertical="center"/>
    </xf>
    <xf numFmtId="206" fontId="0" fillId="2" borderId="2" xfId="0" applyNumberFormat="1" applyFill="1" applyBorder="1" applyAlignment="1">
      <alignment vertical="center"/>
    </xf>
    <xf numFmtId="208" fontId="0" fillId="5" borderId="2" xfId="0" applyNumberFormat="1" applyFill="1" applyBorder="1" applyAlignment="1">
      <alignment vertical="center"/>
    </xf>
    <xf numFmtId="208" fontId="0" fillId="2" borderId="2" xfId="0" applyNumberFormat="1" applyFill="1" applyBorder="1" applyAlignment="1">
      <alignment vertical="center"/>
    </xf>
    <xf numFmtId="0" fontId="11" fillId="4" borderId="0" xfId="0" applyFont="1" applyFill="1" applyAlignment="1">
      <alignment/>
    </xf>
    <xf numFmtId="0" fontId="0" fillId="4" borderId="7" xfId="0" applyFont="1" applyFill="1" applyBorder="1" applyAlignment="1">
      <alignment horizontal="left" vertical="center"/>
    </xf>
    <xf numFmtId="191" fontId="0" fillId="2" borderId="8" xfId="0" applyNumberFormat="1" applyFill="1" applyBorder="1" applyAlignment="1">
      <alignment vertical="center"/>
    </xf>
    <xf numFmtId="190" fontId="0" fillId="4" borderId="2" xfId="19" applyNumberForma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4" borderId="9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222" fontId="0" fillId="2" borderId="2" xfId="19" applyNumberFormat="1" applyFill="1" applyBorder="1" applyAlignment="1">
      <alignment vertical="center"/>
    </xf>
    <xf numFmtId="189" fontId="3" fillId="6" borderId="1" xfId="0" applyNumberFormat="1" applyFont="1" applyFill="1" applyBorder="1" applyAlignment="1" applyProtection="1">
      <alignment vertical="center"/>
      <protection locked="0"/>
    </xf>
    <xf numFmtId="191" fontId="3" fillId="6" borderId="1" xfId="0" applyNumberFormat="1" applyFont="1" applyFill="1" applyBorder="1" applyAlignment="1" applyProtection="1">
      <alignment vertical="center"/>
      <protection locked="0"/>
    </xf>
    <xf numFmtId="194" fontId="3" fillId="6" borderId="1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SheetLayoutView="5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2" sqref="D12"/>
    </sheetView>
  </sheetViews>
  <sheetFormatPr defaultColWidth="11.00390625" defaultRowHeight="14.25"/>
  <cols>
    <col min="1" max="1" width="3.125" style="0" bestFit="1" customWidth="1"/>
    <col min="2" max="2" width="22.50390625" style="0" customWidth="1"/>
    <col min="3" max="3" width="12.125" style="0" customWidth="1"/>
    <col min="4" max="4" width="14.875" style="0" bestFit="1" customWidth="1"/>
    <col min="5" max="5" width="11.375" style="0" bestFit="1" customWidth="1"/>
    <col min="6" max="6" width="16.125" style="0" bestFit="1" customWidth="1"/>
    <col min="7" max="7" width="13.75390625" style="0" customWidth="1"/>
    <col min="8" max="8" width="11.75390625" style="0" bestFit="1" customWidth="1"/>
    <col min="9" max="9" width="12.625" style="0" bestFit="1" customWidth="1"/>
    <col min="10" max="10" width="14.50390625" style="0" customWidth="1"/>
    <col min="11" max="11" width="11.75390625" style="0" bestFit="1" customWidth="1"/>
    <col min="12" max="12" width="23.75390625" style="0" customWidth="1"/>
    <col min="13" max="13" width="14.25390625" style="0" bestFit="1" customWidth="1"/>
    <col min="14" max="14" width="11.75390625" style="0" bestFit="1" customWidth="1"/>
    <col min="15" max="15" width="16.00390625" style="0" customWidth="1"/>
    <col min="16" max="16" width="14.25390625" style="0" bestFit="1" customWidth="1"/>
    <col min="17" max="17" width="11.50390625" style="0" bestFit="1" customWidth="1"/>
    <col min="18" max="18" width="16.625" style="0" customWidth="1"/>
  </cols>
  <sheetData>
    <row r="1" spans="1:17" ht="14.25">
      <c r="A1" s="22"/>
      <c r="B1" s="22" t="s">
        <v>111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</row>
    <row r="2" spans="1:17" ht="20.25">
      <c r="A2" s="22"/>
      <c r="B2" s="42" t="s">
        <v>112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/>
    </row>
    <row r="3" spans="1:17" ht="20.25">
      <c r="A3" s="22"/>
      <c r="B3" s="42" t="s">
        <v>90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/>
    </row>
    <row r="4" spans="1:17" ht="15">
      <c r="A4" s="22"/>
      <c r="B4" s="27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</row>
    <row r="5" spans="1:17" ht="15">
      <c r="A5" s="22"/>
      <c r="B5" s="27" t="s">
        <v>113</v>
      </c>
      <c r="C5" s="22"/>
      <c r="D5" s="22"/>
      <c r="E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</row>
    <row r="6" spans="1:17" ht="15">
      <c r="A6" s="19"/>
      <c r="B6" s="22"/>
      <c r="C6" s="53" t="s">
        <v>115</v>
      </c>
      <c r="D6" s="54"/>
      <c r="E6" s="55"/>
      <c r="F6" s="59" t="s">
        <v>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4.25">
      <c r="A7" s="19"/>
      <c r="B7" s="22"/>
      <c r="C7" s="53"/>
      <c r="D7" s="54"/>
      <c r="E7" s="55"/>
      <c r="F7" s="56" t="s">
        <v>4</v>
      </c>
      <c r="G7" s="57"/>
      <c r="H7" s="57"/>
      <c r="I7" s="57"/>
      <c r="J7" s="57"/>
      <c r="K7" s="57"/>
      <c r="L7" s="57" t="s">
        <v>5</v>
      </c>
      <c r="M7" s="57"/>
      <c r="N7" s="57"/>
      <c r="O7" s="57"/>
      <c r="P7" s="57"/>
      <c r="Q7" s="58"/>
    </row>
    <row r="8" spans="1:17" ht="14.25">
      <c r="A8" s="19"/>
      <c r="B8" s="22"/>
      <c r="C8" s="53"/>
      <c r="D8" s="54"/>
      <c r="E8" s="55"/>
      <c r="F8" s="56" t="s">
        <v>116</v>
      </c>
      <c r="G8" s="57"/>
      <c r="H8" s="58"/>
      <c r="I8" s="56" t="s">
        <v>117</v>
      </c>
      <c r="J8" s="57"/>
      <c r="K8" s="58"/>
      <c r="L8" s="56" t="s">
        <v>118</v>
      </c>
      <c r="M8" s="57"/>
      <c r="N8" s="58"/>
      <c r="O8" s="56" t="s">
        <v>119</v>
      </c>
      <c r="P8" s="57"/>
      <c r="Q8" s="58"/>
    </row>
    <row r="9" spans="1:17" ht="14.25">
      <c r="A9" s="19"/>
      <c r="B9" s="22"/>
      <c r="C9" s="19" t="s">
        <v>7</v>
      </c>
      <c r="D9" s="20" t="s">
        <v>8</v>
      </c>
      <c r="E9" s="21" t="s">
        <v>10</v>
      </c>
      <c r="F9" s="19" t="s">
        <v>7</v>
      </c>
      <c r="G9" s="20" t="s">
        <v>8</v>
      </c>
      <c r="H9" s="21" t="s">
        <v>10</v>
      </c>
      <c r="I9" s="19" t="s">
        <v>7</v>
      </c>
      <c r="J9" s="20" t="s">
        <v>9</v>
      </c>
      <c r="K9" s="21" t="s">
        <v>10</v>
      </c>
      <c r="L9" s="19" t="s">
        <v>7</v>
      </c>
      <c r="M9" s="20" t="s">
        <v>8</v>
      </c>
      <c r="N9" s="21" t="s">
        <v>10</v>
      </c>
      <c r="O9" s="19" t="s">
        <v>7</v>
      </c>
      <c r="P9" s="20" t="s">
        <v>9</v>
      </c>
      <c r="Q9" s="28" t="s">
        <v>10</v>
      </c>
    </row>
    <row r="10" spans="1:17" ht="15">
      <c r="A10" s="47"/>
      <c r="B10" s="23" t="s">
        <v>24</v>
      </c>
      <c r="C10" s="24" t="s">
        <v>30</v>
      </c>
      <c r="D10" s="18">
        <f>1/SQRT(1-D12^2/D11^2)</f>
        <v>1.0675210253672476</v>
      </c>
      <c r="E10" s="21"/>
      <c r="F10" s="19"/>
      <c r="G10" s="20"/>
      <c r="H10" s="21"/>
      <c r="I10" s="19"/>
      <c r="J10" s="20"/>
      <c r="K10" s="21"/>
      <c r="L10" s="19"/>
      <c r="M10" s="20"/>
      <c r="N10" s="21"/>
      <c r="O10" s="19"/>
      <c r="P10" s="20"/>
      <c r="Q10" s="28"/>
    </row>
    <row r="11" spans="1:17" s="1" customFormat="1" ht="36" customHeight="1">
      <c r="A11" s="43">
        <v>1</v>
      </c>
      <c r="B11" s="23" t="s">
        <v>11</v>
      </c>
      <c r="C11" s="4" t="s">
        <v>0</v>
      </c>
      <c r="D11" s="5">
        <v>299792458</v>
      </c>
      <c r="E11" s="6">
        <f>ROUND(D11/1000000,0)*1000</f>
        <v>300000</v>
      </c>
      <c r="F11" s="11" t="s">
        <v>0</v>
      </c>
      <c r="G11" s="5">
        <v>299792458</v>
      </c>
      <c r="H11" s="6">
        <f>ROUND(G11/1000000,0)*1000</f>
        <v>300000</v>
      </c>
      <c r="I11" s="11" t="s">
        <v>0</v>
      </c>
      <c r="J11" s="5">
        <v>299792458</v>
      </c>
      <c r="K11" s="6">
        <f>ROUND(J11/1000000,0)*1000</f>
        <v>300000</v>
      </c>
      <c r="L11" s="11" t="s">
        <v>0</v>
      </c>
      <c r="M11" s="5">
        <v>299792458</v>
      </c>
      <c r="N11" s="6">
        <f>ROUND(M11/1000000,0)*1000</f>
        <v>300000</v>
      </c>
      <c r="O11" s="11" t="s">
        <v>0</v>
      </c>
      <c r="P11" s="5">
        <v>299792458</v>
      </c>
      <c r="Q11" s="6">
        <f>ROUND(P11/1000000,0)*1000</f>
        <v>300000</v>
      </c>
    </row>
    <row r="12" spans="1:17" s="1" customFormat="1" ht="36" customHeight="1">
      <c r="A12" s="43">
        <v>2</v>
      </c>
      <c r="B12" s="23" t="s">
        <v>3</v>
      </c>
      <c r="C12" s="4" t="s">
        <v>1</v>
      </c>
      <c r="D12" s="50">
        <f>0.35*D11</f>
        <v>104927360.3</v>
      </c>
      <c r="E12" s="26">
        <f>D12/D11</f>
        <v>0.35</v>
      </c>
      <c r="F12" s="11" t="s">
        <v>1</v>
      </c>
      <c r="G12" s="5">
        <f>D12</f>
        <v>104927360.3</v>
      </c>
      <c r="H12" s="26">
        <f>G12/G11</f>
        <v>0.35</v>
      </c>
      <c r="I12" s="11" t="s">
        <v>1</v>
      </c>
      <c r="J12" s="5">
        <f>D12</f>
        <v>104927360.3</v>
      </c>
      <c r="K12" s="26">
        <f>J12/J11</f>
        <v>0.35</v>
      </c>
      <c r="L12" s="11" t="s">
        <v>1</v>
      </c>
      <c r="M12" s="5">
        <f>D12</f>
        <v>104927360.3</v>
      </c>
      <c r="N12" s="26">
        <f>M12/M11</f>
        <v>0.35</v>
      </c>
      <c r="O12" s="11" t="s">
        <v>1</v>
      </c>
      <c r="P12" s="5">
        <f>D12</f>
        <v>104927360.3</v>
      </c>
      <c r="Q12" s="26">
        <f>P12/P11</f>
        <v>0.35</v>
      </c>
    </row>
    <row r="13" spans="1:17" s="1" customFormat="1" ht="36" customHeight="1">
      <c r="A13" s="43">
        <v>3</v>
      </c>
      <c r="B13" s="23" t="s">
        <v>12</v>
      </c>
      <c r="C13" s="12" t="s">
        <v>2</v>
      </c>
      <c r="D13" s="51">
        <v>3E-06</v>
      </c>
      <c r="E13" s="13">
        <f>D13*1000000</f>
        <v>3</v>
      </c>
      <c r="F13" s="12" t="s">
        <v>26</v>
      </c>
      <c r="G13" s="44">
        <f>D13</f>
        <v>3E-06</v>
      </c>
      <c r="H13" s="13">
        <f>G13*1000000</f>
        <v>3</v>
      </c>
      <c r="I13" s="12" t="s">
        <v>69</v>
      </c>
      <c r="J13" s="12">
        <f>D13</f>
        <v>3E-06</v>
      </c>
      <c r="K13" s="13">
        <f>J13*1000000</f>
        <v>3</v>
      </c>
      <c r="L13" s="30" t="s">
        <v>33</v>
      </c>
      <c r="M13" s="30">
        <f>D13/D10</f>
        <v>2.810249099279279E-06</v>
      </c>
      <c r="N13" s="31">
        <f>M13*1000000</f>
        <v>2.8102490992792792</v>
      </c>
      <c r="O13" s="12" t="s">
        <v>95</v>
      </c>
      <c r="P13" s="12">
        <f>D13</f>
        <v>3E-06</v>
      </c>
      <c r="Q13" s="13">
        <f>P13*1000000</f>
        <v>3</v>
      </c>
    </row>
    <row r="14" spans="1:18" s="1" customFormat="1" ht="36" customHeight="1">
      <c r="A14" s="43">
        <v>4</v>
      </c>
      <c r="B14" s="23" t="s">
        <v>25</v>
      </c>
      <c r="C14" s="4" t="s">
        <v>27</v>
      </c>
      <c r="D14" s="25">
        <f>2*D13</f>
        <v>6E-06</v>
      </c>
      <c r="E14" s="13">
        <f>D14*1000000</f>
        <v>6</v>
      </c>
      <c r="F14" s="29" t="s">
        <v>96</v>
      </c>
      <c r="G14" s="30">
        <f>D14*D10</f>
        <v>6.405126152203486E-06</v>
      </c>
      <c r="H14" s="31">
        <f>2*D13*D10*1000000</f>
        <v>6.405126152203486</v>
      </c>
      <c r="I14" s="4" t="s">
        <v>70</v>
      </c>
      <c r="J14" s="12">
        <f>G14/D10</f>
        <v>6E-06</v>
      </c>
      <c r="K14" s="13">
        <f>J14*1000000</f>
        <v>6</v>
      </c>
      <c r="L14" s="29" t="s">
        <v>44</v>
      </c>
      <c r="M14" s="30">
        <f>2*M13/(1-M12^2/M11^2)</f>
        <v>6.405126152203486E-06</v>
      </c>
      <c r="N14" s="31">
        <f>M14*1000000</f>
        <v>6.405126152203486</v>
      </c>
      <c r="O14" s="4" t="s">
        <v>52</v>
      </c>
      <c r="P14" s="12">
        <f>M14/D10</f>
        <v>6E-06</v>
      </c>
      <c r="Q14" s="13">
        <f>(P15+P16)*1000000</f>
        <v>6</v>
      </c>
      <c r="R14" s="2"/>
    </row>
    <row r="15" spans="1:18" s="1" customFormat="1" ht="37.5">
      <c r="A15" s="43">
        <v>5</v>
      </c>
      <c r="B15" s="23" t="s">
        <v>13</v>
      </c>
      <c r="C15" s="4" t="s">
        <v>28</v>
      </c>
      <c r="D15" s="12">
        <f>D13</f>
        <v>3E-06</v>
      </c>
      <c r="E15" s="13">
        <f>D15*1000000</f>
        <v>3</v>
      </c>
      <c r="F15" s="29" t="s">
        <v>31</v>
      </c>
      <c r="G15" s="30">
        <f>G14/2</f>
        <v>3.202563076101743E-06</v>
      </c>
      <c r="H15" s="31">
        <f>G15*1000000</f>
        <v>3.202563076101743</v>
      </c>
      <c r="I15" s="4" t="s">
        <v>71</v>
      </c>
      <c r="J15" s="12">
        <f>G15/D10</f>
        <v>3E-06</v>
      </c>
      <c r="K15" s="13">
        <f>J15*1000000</f>
        <v>3</v>
      </c>
      <c r="L15" s="46" t="s">
        <v>97</v>
      </c>
      <c r="M15" s="30">
        <f>M13*1/(1-M12/M11)</f>
        <v>4.323460152737353E-06</v>
      </c>
      <c r="N15" s="31">
        <f>(M13+M18*M12)*1000000</f>
        <v>4.323460152737352</v>
      </c>
      <c r="O15" s="29" t="s">
        <v>53</v>
      </c>
      <c r="P15" s="30">
        <f>M15/D10</f>
        <v>4.05E-06</v>
      </c>
      <c r="Q15" s="31">
        <f>P15*1000000</f>
        <v>4.05</v>
      </c>
      <c r="R15" s="3"/>
    </row>
    <row r="16" spans="1:18" s="1" customFormat="1" ht="36" customHeight="1">
      <c r="A16" s="43">
        <v>6</v>
      </c>
      <c r="B16" s="23" t="s">
        <v>14</v>
      </c>
      <c r="C16" s="4" t="s">
        <v>29</v>
      </c>
      <c r="D16" s="12">
        <f>D13</f>
        <v>3E-06</v>
      </c>
      <c r="E16" s="13">
        <f>D16*1000000</f>
        <v>3</v>
      </c>
      <c r="F16" s="29" t="s">
        <v>32</v>
      </c>
      <c r="G16" s="30">
        <f>G14/2</f>
        <v>3.202563076101743E-06</v>
      </c>
      <c r="H16" s="31">
        <f>G16*1000000</f>
        <v>3.202563076101743</v>
      </c>
      <c r="I16" s="4" t="s">
        <v>72</v>
      </c>
      <c r="J16" s="12">
        <f>G16/D10</f>
        <v>3E-06</v>
      </c>
      <c r="K16" s="13">
        <f>J16*1000000</f>
        <v>3</v>
      </c>
      <c r="L16" s="46" t="s">
        <v>98</v>
      </c>
      <c r="M16" s="30">
        <f>M13*1/(1+M12/M11)</f>
        <v>2.0816659994661327E-06</v>
      </c>
      <c r="N16" s="31">
        <f>(M13-M19*M12)*1000000</f>
        <v>2.0816659994661326</v>
      </c>
      <c r="O16" s="29" t="s">
        <v>54</v>
      </c>
      <c r="P16" s="30">
        <f>M16/D10</f>
        <v>1.95E-06</v>
      </c>
      <c r="Q16" s="31">
        <f>P16*1000000</f>
        <v>1.95</v>
      </c>
      <c r="R16" s="2"/>
    </row>
    <row r="17" spans="1:17" s="1" customFormat="1" ht="56.25">
      <c r="A17" s="43">
        <v>7</v>
      </c>
      <c r="B17" s="23" t="s">
        <v>88</v>
      </c>
      <c r="C17" s="4" t="s">
        <v>99</v>
      </c>
      <c r="D17" s="14">
        <f>2*D13/D11</f>
        <v>2.0013845711889125E-14</v>
      </c>
      <c r="E17" s="15">
        <f>D17*1000000000000000</f>
        <v>20.013845711889125</v>
      </c>
      <c r="F17" s="29" t="s">
        <v>37</v>
      </c>
      <c r="G17" s="32">
        <f>D17*D10</f>
        <v>2.136520109589777E-14</v>
      </c>
      <c r="H17" s="33">
        <f>G14/G11*1000000000000000</f>
        <v>21.36520109589777</v>
      </c>
      <c r="I17" s="4" t="s">
        <v>73</v>
      </c>
      <c r="J17" s="14">
        <f>G17/D10</f>
        <v>2.0013845711889125E-14</v>
      </c>
      <c r="K17" s="15">
        <f>J14/J11*1000000000000000</f>
        <v>20.013845711889125</v>
      </c>
      <c r="L17" s="46" t="s">
        <v>100</v>
      </c>
      <c r="M17" s="32">
        <f>2*M13/M11*1/(1-M12^2/M11^2)</f>
        <v>2.136520109589777E-14</v>
      </c>
      <c r="N17" s="33">
        <f>(2*D13/M11*D10)*1000000000000000</f>
        <v>21.36520109589777</v>
      </c>
      <c r="O17" s="4" t="s">
        <v>46</v>
      </c>
      <c r="P17" s="14">
        <f>M17/D10</f>
        <v>2.0013845711889125E-14</v>
      </c>
      <c r="Q17" s="15">
        <f>P17*1000000000000000</f>
        <v>20.013845711889125</v>
      </c>
    </row>
    <row r="18" spans="1:17" s="1" customFormat="1" ht="36" customHeight="1">
      <c r="A18" s="43">
        <v>8</v>
      </c>
      <c r="B18" s="23" t="s">
        <v>15</v>
      </c>
      <c r="C18" s="4" t="s">
        <v>84</v>
      </c>
      <c r="D18" s="14">
        <f>D14/(2*D11)</f>
        <v>1.0006922855944562E-14</v>
      </c>
      <c r="E18" s="15">
        <f>D18*1000000000000000</f>
        <v>10.006922855944563</v>
      </c>
      <c r="F18" s="29" t="s">
        <v>58</v>
      </c>
      <c r="G18" s="32">
        <f>G17/2</f>
        <v>1.0682600547948885E-14</v>
      </c>
      <c r="H18" s="33">
        <f>G18*1000000000000000</f>
        <v>10.682600547948885</v>
      </c>
      <c r="I18" s="4" t="s">
        <v>74</v>
      </c>
      <c r="J18" s="14">
        <f>G18/D10</f>
        <v>1.0006922855944562E-14</v>
      </c>
      <c r="K18" s="15">
        <f>J18*1000000000000000</f>
        <v>10.006922855944563</v>
      </c>
      <c r="L18" s="29" t="s">
        <v>101</v>
      </c>
      <c r="M18" s="32">
        <f>M15/M11</f>
        <v>1.4421510739730995E-14</v>
      </c>
      <c r="N18" s="33">
        <f>M13/(M11-M12)*1000000000000000</f>
        <v>14.421510739730994</v>
      </c>
      <c r="O18" s="29" t="s">
        <v>47</v>
      </c>
      <c r="P18" s="32">
        <f>M18/D10</f>
        <v>1.350934585552516E-14</v>
      </c>
      <c r="Q18" s="33">
        <f>P18*1000000000000000</f>
        <v>13.50934585552516</v>
      </c>
    </row>
    <row r="19" spans="1:17" s="1" customFormat="1" ht="36" customHeight="1">
      <c r="A19" s="43">
        <v>9</v>
      </c>
      <c r="B19" s="23" t="s">
        <v>20</v>
      </c>
      <c r="C19" s="4" t="s">
        <v>85</v>
      </c>
      <c r="D19" s="14">
        <f>D14/(2*D11)</f>
        <v>1.0006922855944562E-14</v>
      </c>
      <c r="E19" s="15">
        <f>D19*1000000000000000</f>
        <v>10.006922855944563</v>
      </c>
      <c r="F19" s="29" t="s">
        <v>59</v>
      </c>
      <c r="G19" s="32">
        <f>G17/2</f>
        <v>1.0682600547948885E-14</v>
      </c>
      <c r="H19" s="33">
        <f>G19*1000000000000000</f>
        <v>10.682600547948885</v>
      </c>
      <c r="I19" s="4" t="s">
        <v>75</v>
      </c>
      <c r="J19" s="14">
        <f>G19/D10</f>
        <v>1.0006922855944562E-14</v>
      </c>
      <c r="K19" s="15">
        <f>J19*1000000000000000</f>
        <v>10.006922855944563</v>
      </c>
      <c r="L19" s="29" t="s">
        <v>102</v>
      </c>
      <c r="M19" s="32">
        <f>M16/M11</f>
        <v>6.943690356166774E-15</v>
      </c>
      <c r="N19" s="33">
        <f>M13/(M11+M12)*1000000000000000</f>
        <v>6.9436903561667735</v>
      </c>
      <c r="O19" s="29" t="s">
        <v>48</v>
      </c>
      <c r="P19" s="32">
        <f>M19/D10</f>
        <v>6.504499856363965E-15</v>
      </c>
      <c r="Q19" s="33">
        <f>P19*1000000000000000</f>
        <v>6.504499856363965</v>
      </c>
    </row>
    <row r="20" spans="1:17" s="1" customFormat="1" ht="36" customHeight="1">
      <c r="A20" s="43">
        <v>10</v>
      </c>
      <c r="B20" s="23" t="s">
        <v>42</v>
      </c>
      <c r="C20" s="4" t="s">
        <v>43</v>
      </c>
      <c r="D20" s="5">
        <f>D11</f>
        <v>299792458</v>
      </c>
      <c r="E20" s="6">
        <f>ROUND(D20/1000000,0)*1000</f>
        <v>300000</v>
      </c>
      <c r="F20" s="29" t="s">
        <v>62</v>
      </c>
      <c r="G20" s="34">
        <f>2*G13/G17</f>
        <v>280830495.0217404</v>
      </c>
      <c r="H20" s="45">
        <f>G20/G11</f>
        <v>0.9367496997597597</v>
      </c>
      <c r="I20" s="4" t="s">
        <v>80</v>
      </c>
      <c r="J20" s="5">
        <f>2*J13/J17</f>
        <v>299792458</v>
      </c>
      <c r="K20" s="6">
        <f>ROUND(J20/1000000,0)*1000</f>
        <v>300000</v>
      </c>
      <c r="L20" s="29" t="s">
        <v>45</v>
      </c>
      <c r="M20" s="34">
        <f>2*M13/M17</f>
        <v>263067881.89499998</v>
      </c>
      <c r="N20" s="45">
        <f>M20/M11</f>
        <v>0.8775</v>
      </c>
      <c r="O20" s="4" t="s">
        <v>51</v>
      </c>
      <c r="P20" s="5">
        <f>2*P13/P17</f>
        <v>299792458</v>
      </c>
      <c r="Q20" s="6">
        <f>ROUND(P20/1000000,0)*1000</f>
        <v>300000</v>
      </c>
    </row>
    <row r="21" spans="1:17" s="1" customFormat="1" ht="36" customHeight="1">
      <c r="A21" s="43">
        <v>11</v>
      </c>
      <c r="B21" s="23" t="s">
        <v>16</v>
      </c>
      <c r="C21" s="4" t="s">
        <v>81</v>
      </c>
      <c r="D21" s="5">
        <f>D11</f>
        <v>299792458</v>
      </c>
      <c r="E21" s="6">
        <f>E11</f>
        <v>300000</v>
      </c>
      <c r="F21" s="29" t="s">
        <v>60</v>
      </c>
      <c r="G21" s="34">
        <f>G13/G18</f>
        <v>280830495.0217404</v>
      </c>
      <c r="H21" s="45">
        <f>G21/G11</f>
        <v>0.9367496997597597</v>
      </c>
      <c r="I21" s="4" t="s">
        <v>76</v>
      </c>
      <c r="J21" s="5">
        <f>J13/J18</f>
        <v>299792458</v>
      </c>
      <c r="K21" s="6">
        <f>ROUND(J21/1000000,0)*1000</f>
        <v>300000</v>
      </c>
      <c r="L21" s="29" t="s">
        <v>40</v>
      </c>
      <c r="M21" s="34">
        <f>M13/M18</f>
        <v>194865097.7</v>
      </c>
      <c r="N21" s="45">
        <f>M21/M11</f>
        <v>0.6499999999999999</v>
      </c>
      <c r="O21" s="29" t="s">
        <v>49</v>
      </c>
      <c r="P21" s="34">
        <f>P13/P18</f>
        <v>222068487.40740737</v>
      </c>
      <c r="Q21" s="45">
        <f>P21/P11</f>
        <v>0.7407407407407406</v>
      </c>
    </row>
    <row r="22" spans="1:17" s="1" customFormat="1" ht="36" customHeight="1">
      <c r="A22" s="43">
        <v>12</v>
      </c>
      <c r="B22" s="23" t="s">
        <v>17</v>
      </c>
      <c r="C22" s="4" t="s">
        <v>82</v>
      </c>
      <c r="D22" s="5">
        <f>D11</f>
        <v>299792458</v>
      </c>
      <c r="E22" s="6">
        <f>E11</f>
        <v>300000</v>
      </c>
      <c r="F22" s="29" t="s">
        <v>61</v>
      </c>
      <c r="G22" s="34">
        <f>G13/G19</f>
        <v>280830495.0217404</v>
      </c>
      <c r="H22" s="45">
        <f>G22/G11</f>
        <v>0.9367496997597597</v>
      </c>
      <c r="I22" s="4" t="s">
        <v>77</v>
      </c>
      <c r="J22" s="5">
        <f>J13/J19</f>
        <v>299792458</v>
      </c>
      <c r="K22" s="6">
        <f>ROUND(J22/1000000,0)*1000</f>
        <v>300000</v>
      </c>
      <c r="L22" s="29" t="s">
        <v>41</v>
      </c>
      <c r="M22" s="34">
        <f>M13/M19</f>
        <v>404719818.3</v>
      </c>
      <c r="N22" s="45">
        <f>M22/M11</f>
        <v>1.35</v>
      </c>
      <c r="O22" s="29" t="s">
        <v>103</v>
      </c>
      <c r="P22" s="34">
        <f>P13/P19</f>
        <v>461219166.15384614</v>
      </c>
      <c r="Q22" s="45">
        <f>P22/P11</f>
        <v>1.5384615384615383</v>
      </c>
    </row>
    <row r="23" spans="1:17" s="1" customFormat="1" ht="36" customHeight="1">
      <c r="A23" s="43">
        <v>13</v>
      </c>
      <c r="B23" s="23" t="s">
        <v>83</v>
      </c>
      <c r="C23" s="4" t="s">
        <v>36</v>
      </c>
      <c r="D23" s="4">
        <f>D11/D27</f>
        <v>499654096666666.7</v>
      </c>
      <c r="E23" s="10">
        <f>D23/1000000000000</f>
        <v>499.6540966666667</v>
      </c>
      <c r="F23" s="29" t="s">
        <v>38</v>
      </c>
      <c r="G23" s="29">
        <f>D23/D10</f>
        <v>468050825036234</v>
      </c>
      <c r="H23" s="35">
        <f>G23/1000000000000</f>
        <v>468.050825036234</v>
      </c>
      <c r="I23" s="4" t="s">
        <v>78</v>
      </c>
      <c r="J23" s="4">
        <f>D23</f>
        <v>499654096666666.7</v>
      </c>
      <c r="K23" s="10">
        <f>J23/1000000000000</f>
        <v>499.6540966666667</v>
      </c>
      <c r="L23" s="29" t="s">
        <v>39</v>
      </c>
      <c r="M23" s="29">
        <f>D23/D10</f>
        <v>468050825036234</v>
      </c>
      <c r="N23" s="35">
        <f>M23/1000000000000</f>
        <v>468.050825036234</v>
      </c>
      <c r="O23" s="4" t="s">
        <v>50</v>
      </c>
      <c r="P23" s="4">
        <f>D23</f>
        <v>499654096666666.7</v>
      </c>
      <c r="Q23" s="10">
        <f>P23/1000000000000</f>
        <v>499.6540966666667</v>
      </c>
    </row>
    <row r="24" spans="1:17" s="1" customFormat="1" ht="37.5">
      <c r="A24" s="43">
        <v>14</v>
      </c>
      <c r="B24" s="23" t="s">
        <v>19</v>
      </c>
      <c r="C24" s="4" t="s">
        <v>104</v>
      </c>
      <c r="D24" s="16">
        <f>D23*D17</f>
        <v>10.000000000000002</v>
      </c>
      <c r="E24" s="17"/>
      <c r="F24" s="4" t="s">
        <v>105</v>
      </c>
      <c r="G24" s="16">
        <f>G23*G17</f>
        <v>10.000000000000002</v>
      </c>
      <c r="H24" s="17"/>
      <c r="I24" s="4" t="s">
        <v>79</v>
      </c>
      <c r="J24" s="16">
        <f>J25+J26</f>
        <v>10</v>
      </c>
      <c r="K24" s="17"/>
      <c r="L24" s="48" t="s">
        <v>106</v>
      </c>
      <c r="M24" s="16">
        <f>D23*D14/D11</f>
        <v>10</v>
      </c>
      <c r="N24" s="17"/>
      <c r="O24" s="4" t="s">
        <v>55</v>
      </c>
      <c r="P24" s="16">
        <f>P25+P26</f>
        <v>10</v>
      </c>
      <c r="Q24" s="17"/>
    </row>
    <row r="25" spans="1:17" s="1" customFormat="1" ht="36" customHeight="1">
      <c r="A25" s="43">
        <v>15</v>
      </c>
      <c r="B25" s="23" t="s">
        <v>22</v>
      </c>
      <c r="C25" s="4" t="s">
        <v>86</v>
      </c>
      <c r="D25" s="16">
        <f>D23*D18</f>
        <v>5.000000000000001</v>
      </c>
      <c r="E25" s="17"/>
      <c r="F25" s="29" t="s">
        <v>63</v>
      </c>
      <c r="G25" s="36">
        <f>G23*G15/G11</f>
        <v>5.000000000000001</v>
      </c>
      <c r="H25" s="17"/>
      <c r="I25" s="4" t="s">
        <v>107</v>
      </c>
      <c r="J25" s="16">
        <f>J23*J15/J11</f>
        <v>5</v>
      </c>
      <c r="K25" s="17"/>
      <c r="L25" s="46" t="s">
        <v>93</v>
      </c>
      <c r="M25" s="36">
        <f>M23*M15/M11</f>
        <v>6.750000000000001</v>
      </c>
      <c r="N25" s="17"/>
      <c r="O25" s="46" t="s">
        <v>92</v>
      </c>
      <c r="P25" s="36">
        <f>P23*P15/P11</f>
        <v>6.750000000000001</v>
      </c>
      <c r="Q25" s="17"/>
    </row>
    <row r="26" spans="1:17" s="1" customFormat="1" ht="36" customHeight="1">
      <c r="A26" s="43">
        <v>16</v>
      </c>
      <c r="B26" s="23" t="s">
        <v>23</v>
      </c>
      <c r="C26" s="4" t="s">
        <v>87</v>
      </c>
      <c r="D26" s="16">
        <f>D23*D19</f>
        <v>5.000000000000001</v>
      </c>
      <c r="E26" s="17"/>
      <c r="F26" s="29" t="s">
        <v>64</v>
      </c>
      <c r="G26" s="36">
        <f>G23*G16/G11</f>
        <v>5.000000000000001</v>
      </c>
      <c r="H26" s="17"/>
      <c r="I26" s="4" t="s">
        <v>108</v>
      </c>
      <c r="J26" s="16">
        <f>J23*J16/J11</f>
        <v>5</v>
      </c>
      <c r="K26" s="17"/>
      <c r="L26" s="46" t="s">
        <v>94</v>
      </c>
      <c r="M26" s="36">
        <f>M23*M16/M11</f>
        <v>3.2500000000000004</v>
      </c>
      <c r="N26" s="17"/>
      <c r="O26" s="46" t="s">
        <v>91</v>
      </c>
      <c r="P26" s="36">
        <f>P23*P16/P11</f>
        <v>3.25</v>
      </c>
      <c r="Q26" s="17"/>
    </row>
    <row r="27" spans="1:17" s="1" customFormat="1" ht="36" customHeight="1">
      <c r="A27" s="43">
        <v>17</v>
      </c>
      <c r="B27" s="23" t="s">
        <v>18</v>
      </c>
      <c r="C27" s="7" t="s">
        <v>34</v>
      </c>
      <c r="D27" s="52">
        <v>6E-07</v>
      </c>
      <c r="E27" s="9">
        <f>D27*1000000000</f>
        <v>600</v>
      </c>
      <c r="F27" s="37" t="s">
        <v>65</v>
      </c>
      <c r="G27" s="29">
        <f>G15/G25</f>
        <v>6.405126152203485E-07</v>
      </c>
      <c r="H27" s="38">
        <f>G27*1000000000</f>
        <v>640.5126152203485</v>
      </c>
      <c r="I27" s="7" t="s">
        <v>109</v>
      </c>
      <c r="J27" s="4">
        <f>J15/J25</f>
        <v>6E-07</v>
      </c>
      <c r="K27" s="9">
        <f>J27*1000000000</f>
        <v>600</v>
      </c>
      <c r="L27" s="37" t="s">
        <v>67</v>
      </c>
      <c r="M27" s="29">
        <f>M15/M25</f>
        <v>6.405126152203485E-07</v>
      </c>
      <c r="N27" s="38">
        <f>M27*1000000000</f>
        <v>640.5126152203485</v>
      </c>
      <c r="O27" s="7" t="s">
        <v>56</v>
      </c>
      <c r="P27" s="8">
        <f>P15/P25</f>
        <v>6E-07</v>
      </c>
      <c r="Q27" s="9">
        <f>P27*1000000000</f>
        <v>600</v>
      </c>
    </row>
    <row r="28" spans="1:17" s="1" customFormat="1" ht="36" customHeight="1">
      <c r="A28" s="43">
        <v>18</v>
      </c>
      <c r="B28" s="23" t="s">
        <v>21</v>
      </c>
      <c r="C28" s="7" t="s">
        <v>35</v>
      </c>
      <c r="D28" s="8">
        <f>D27</f>
        <v>6E-07</v>
      </c>
      <c r="E28" s="9">
        <f>D28*1000000000</f>
        <v>600</v>
      </c>
      <c r="F28" s="37" t="s">
        <v>66</v>
      </c>
      <c r="G28" s="29">
        <f>D28*D10</f>
        <v>6.405126152203485E-07</v>
      </c>
      <c r="H28" s="38">
        <f>G28*1000000000</f>
        <v>640.5126152203485</v>
      </c>
      <c r="I28" s="7" t="s">
        <v>110</v>
      </c>
      <c r="J28" s="4">
        <f>J16/J26</f>
        <v>6E-07</v>
      </c>
      <c r="K28" s="9">
        <f>J28*1000000000</f>
        <v>600</v>
      </c>
      <c r="L28" s="37" t="s">
        <v>68</v>
      </c>
      <c r="M28" s="29">
        <f>M16/M26</f>
        <v>6.405126152203485E-07</v>
      </c>
      <c r="N28" s="38">
        <f>M28*1000000000</f>
        <v>640.5126152203485</v>
      </c>
      <c r="O28" s="7" t="s">
        <v>57</v>
      </c>
      <c r="P28" s="8">
        <f>P16/P26</f>
        <v>6E-07</v>
      </c>
      <c r="Q28" s="9">
        <f>P28*1000000000</f>
        <v>600</v>
      </c>
    </row>
  </sheetData>
  <sheetProtection password="CF10" sheet="1" objects="1" scenarios="1"/>
  <mergeCells count="8">
    <mergeCell ref="C6:E8"/>
    <mergeCell ref="F8:H8"/>
    <mergeCell ref="I8:K8"/>
    <mergeCell ref="F6:Q6"/>
    <mergeCell ref="L8:N8"/>
    <mergeCell ref="O8:Q8"/>
    <mergeCell ref="F7:K7"/>
    <mergeCell ref="L7:Q7"/>
  </mergeCells>
  <printOptions/>
  <pageMargins left="0.75" right="0.75" top="1" bottom="1" header="0.4921259845" footer="0.4921259845"/>
  <pageSetup horizontalDpi="600" verticalDpi="600" orientation="landscape" paperSize="9" scale="4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zoomScaleSheetLayoutView="5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"/>
    </sheetView>
  </sheetViews>
  <sheetFormatPr defaultColWidth="11.00390625" defaultRowHeight="14.25"/>
  <cols>
    <col min="1" max="1" width="3.125" style="0" bestFit="1" customWidth="1"/>
    <col min="2" max="2" width="22.50390625" style="0" customWidth="1"/>
    <col min="3" max="3" width="12.125" style="0" customWidth="1"/>
    <col min="4" max="4" width="14.875" style="0" bestFit="1" customWidth="1"/>
    <col min="5" max="5" width="11.875" style="0" bestFit="1" customWidth="1"/>
    <col min="6" max="6" width="16.125" style="0" bestFit="1" customWidth="1"/>
    <col min="7" max="7" width="14.625" style="0" bestFit="1" customWidth="1"/>
    <col min="8" max="8" width="11.75390625" style="0" bestFit="1" customWidth="1"/>
    <col min="9" max="9" width="12.625" style="0" bestFit="1" customWidth="1"/>
    <col min="10" max="10" width="14.50390625" style="0" customWidth="1"/>
    <col min="11" max="11" width="18.00390625" style="0" bestFit="1" customWidth="1"/>
    <col min="12" max="12" width="23.75390625" style="0" customWidth="1"/>
    <col min="13" max="13" width="14.25390625" style="0" bestFit="1" customWidth="1"/>
    <col min="14" max="14" width="12.625" style="0" bestFit="1" customWidth="1"/>
    <col min="15" max="15" width="16.00390625" style="0" customWidth="1"/>
    <col min="16" max="16" width="14.25390625" style="0" bestFit="1" customWidth="1"/>
    <col min="17" max="17" width="21.625" style="0" bestFit="1" customWidth="1"/>
    <col min="18" max="18" width="16.625" style="0" customWidth="1"/>
  </cols>
  <sheetData>
    <row r="1" spans="1:17" ht="14.25">
      <c r="A1" s="22"/>
      <c r="B1" s="22" t="s">
        <v>111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</row>
    <row r="2" spans="1:17" ht="20.25">
      <c r="A2" s="22"/>
      <c r="B2" s="42" t="s">
        <v>112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/>
    </row>
    <row r="3" spans="1:17" ht="20.25">
      <c r="A3" s="22"/>
      <c r="B3" s="42" t="s">
        <v>89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/>
    </row>
    <row r="4" spans="1:17" ht="15">
      <c r="A4" s="22"/>
      <c r="B4" s="27" t="s">
        <v>114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</row>
    <row r="5" spans="1:17" ht="15">
      <c r="A5" s="22"/>
      <c r="B5" s="27" t="s">
        <v>113</v>
      </c>
      <c r="C5" s="22"/>
      <c r="D5" s="22"/>
      <c r="E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</row>
    <row r="6" spans="1:17" ht="15">
      <c r="A6" s="19"/>
      <c r="B6" s="22"/>
      <c r="C6" s="53" t="s">
        <v>115</v>
      </c>
      <c r="D6" s="54"/>
      <c r="E6" s="55"/>
      <c r="F6" s="59" t="s">
        <v>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</row>
    <row r="7" spans="1:17" ht="14.25">
      <c r="A7" s="19"/>
      <c r="B7" s="22"/>
      <c r="C7" s="53"/>
      <c r="D7" s="54"/>
      <c r="E7" s="55"/>
      <c r="F7" s="56" t="s">
        <v>4</v>
      </c>
      <c r="G7" s="57"/>
      <c r="H7" s="57"/>
      <c r="I7" s="57"/>
      <c r="J7" s="57"/>
      <c r="K7" s="57"/>
      <c r="L7" s="57" t="s">
        <v>5</v>
      </c>
      <c r="M7" s="57"/>
      <c r="N7" s="57"/>
      <c r="O7" s="57"/>
      <c r="P7" s="57"/>
      <c r="Q7" s="58"/>
    </row>
    <row r="8" spans="1:17" ht="14.25">
      <c r="A8" s="19"/>
      <c r="B8" s="22"/>
      <c r="C8" s="53"/>
      <c r="D8" s="54"/>
      <c r="E8" s="55"/>
      <c r="F8" s="56" t="s">
        <v>116</v>
      </c>
      <c r="G8" s="57"/>
      <c r="H8" s="58"/>
      <c r="I8" s="56" t="s">
        <v>117</v>
      </c>
      <c r="J8" s="57"/>
      <c r="K8" s="58"/>
      <c r="L8" s="56" t="s">
        <v>118</v>
      </c>
      <c r="M8" s="57"/>
      <c r="N8" s="58"/>
      <c r="O8" s="56" t="s">
        <v>119</v>
      </c>
      <c r="P8" s="57"/>
      <c r="Q8" s="58"/>
    </row>
    <row r="9" spans="1:17" ht="14.25">
      <c r="A9" s="19"/>
      <c r="B9" s="22"/>
      <c r="C9" s="19" t="s">
        <v>7</v>
      </c>
      <c r="D9" s="20" t="s">
        <v>8</v>
      </c>
      <c r="E9" s="21" t="s">
        <v>10</v>
      </c>
      <c r="F9" s="19" t="s">
        <v>7</v>
      </c>
      <c r="G9" s="20" t="s">
        <v>8</v>
      </c>
      <c r="H9" s="21" t="s">
        <v>10</v>
      </c>
      <c r="I9" s="19" t="s">
        <v>7</v>
      </c>
      <c r="J9" s="20" t="s">
        <v>9</v>
      </c>
      <c r="K9" s="21" t="s">
        <v>10</v>
      </c>
      <c r="L9" s="19" t="s">
        <v>7</v>
      </c>
      <c r="M9" s="20" t="s">
        <v>8</v>
      </c>
      <c r="N9" s="21" t="s">
        <v>10</v>
      </c>
      <c r="O9" s="19" t="s">
        <v>7</v>
      </c>
      <c r="P9" s="20" t="s">
        <v>9</v>
      </c>
      <c r="Q9" s="28" t="s">
        <v>10</v>
      </c>
    </row>
    <row r="10" spans="1:17" ht="15">
      <c r="A10" s="47"/>
      <c r="B10" s="23" t="s">
        <v>24</v>
      </c>
      <c r="C10" s="24" t="s">
        <v>30</v>
      </c>
      <c r="D10" s="18">
        <f>1/SQRT(1-D12^2/D11^2)</f>
        <v>1.0000023504815305</v>
      </c>
      <c r="E10" s="21"/>
      <c r="F10" s="19"/>
      <c r="G10" s="20"/>
      <c r="H10" s="21"/>
      <c r="I10" s="19"/>
      <c r="J10" s="20"/>
      <c r="K10" s="21"/>
      <c r="L10" s="19"/>
      <c r="M10" s="20"/>
      <c r="N10" s="21"/>
      <c r="O10" s="19"/>
      <c r="P10" s="20"/>
      <c r="Q10" s="28"/>
    </row>
    <row r="11" spans="1:17" s="1" customFormat="1" ht="36" customHeight="1">
      <c r="A11" s="43">
        <v>1</v>
      </c>
      <c r="B11" s="23" t="s">
        <v>11</v>
      </c>
      <c r="C11" s="4" t="s">
        <v>0</v>
      </c>
      <c r="D11" s="5">
        <v>299792458</v>
      </c>
      <c r="E11" s="6">
        <f>ROUND(D11/1000000,0)*1000</f>
        <v>300000</v>
      </c>
      <c r="F11" s="11" t="s">
        <v>0</v>
      </c>
      <c r="G11" s="5">
        <v>299792458</v>
      </c>
      <c r="H11" s="6">
        <f>ROUND(G11/1000000,0)*1000</f>
        <v>300000</v>
      </c>
      <c r="I11" s="11" t="s">
        <v>0</v>
      </c>
      <c r="J11" s="5">
        <v>299792458</v>
      </c>
      <c r="K11" s="6">
        <f>ROUND(J11/1000000,0)*1000</f>
        <v>300000</v>
      </c>
      <c r="L11" s="11" t="s">
        <v>0</v>
      </c>
      <c r="M11" s="5">
        <v>299792458</v>
      </c>
      <c r="N11" s="6">
        <f>ROUND(M11/1000000,0)*1000</f>
        <v>300000</v>
      </c>
      <c r="O11" s="11" t="s">
        <v>0</v>
      </c>
      <c r="P11" s="5">
        <v>299792458</v>
      </c>
      <c r="Q11" s="6">
        <f>ROUND(P11/1000000,0)*1000</f>
        <v>300000</v>
      </c>
    </row>
    <row r="12" spans="1:17" s="1" customFormat="1" ht="36" customHeight="1">
      <c r="A12" s="43">
        <v>2</v>
      </c>
      <c r="B12" s="23" t="s">
        <v>3</v>
      </c>
      <c r="C12" s="4" t="s">
        <v>1</v>
      </c>
      <c r="D12" s="50">
        <v>650000</v>
      </c>
      <c r="E12" s="49">
        <f>D12/D11</f>
        <v>0.0021681666187879883</v>
      </c>
      <c r="F12" s="11" t="s">
        <v>1</v>
      </c>
      <c r="G12" s="5">
        <f>D12</f>
        <v>650000</v>
      </c>
      <c r="H12" s="49">
        <f>G12/G11</f>
        <v>0.0021681666187879883</v>
      </c>
      <c r="I12" s="11" t="s">
        <v>1</v>
      </c>
      <c r="J12" s="5">
        <f>D12</f>
        <v>650000</v>
      </c>
      <c r="K12" s="49">
        <f>J12/J11</f>
        <v>0.0021681666187879883</v>
      </c>
      <c r="L12" s="11" t="s">
        <v>1</v>
      </c>
      <c r="M12" s="5">
        <f>D12</f>
        <v>650000</v>
      </c>
      <c r="N12" s="49">
        <f>M12/M11</f>
        <v>0.0021681666187879883</v>
      </c>
      <c r="O12" s="11" t="s">
        <v>1</v>
      </c>
      <c r="P12" s="5">
        <f>D12</f>
        <v>650000</v>
      </c>
      <c r="Q12" s="49">
        <f>P12/P11</f>
        <v>0.0021681666187879883</v>
      </c>
    </row>
    <row r="13" spans="1:17" s="1" customFormat="1" ht="36" customHeight="1">
      <c r="A13" s="43">
        <v>3</v>
      </c>
      <c r="B13" s="23" t="s">
        <v>12</v>
      </c>
      <c r="C13" s="12" t="s">
        <v>2</v>
      </c>
      <c r="D13" s="51">
        <v>1000</v>
      </c>
      <c r="E13" s="39">
        <f>D13/1000</f>
        <v>1</v>
      </c>
      <c r="F13" s="12" t="s">
        <v>26</v>
      </c>
      <c r="G13" s="44">
        <f>D13</f>
        <v>1000</v>
      </c>
      <c r="H13" s="39">
        <f>G13/1000</f>
        <v>1</v>
      </c>
      <c r="I13" s="12" t="s">
        <v>69</v>
      </c>
      <c r="J13" s="12">
        <f>D13</f>
        <v>1000</v>
      </c>
      <c r="K13" s="39">
        <f>J13/1000</f>
        <v>1</v>
      </c>
      <c r="L13" s="30" t="s">
        <v>33</v>
      </c>
      <c r="M13" s="30">
        <f>D13/D10</f>
        <v>999.9976495239943</v>
      </c>
      <c r="N13" s="39">
        <f>M13/1000</f>
        <v>0.9999976495239943</v>
      </c>
      <c r="O13" s="12" t="s">
        <v>95</v>
      </c>
      <c r="P13" s="12">
        <f>D13</f>
        <v>1000</v>
      </c>
      <c r="Q13" s="39">
        <f>P13/1000</f>
        <v>1</v>
      </c>
    </row>
    <row r="14" spans="1:18" s="1" customFormat="1" ht="36" customHeight="1">
      <c r="A14" s="43">
        <v>4</v>
      </c>
      <c r="B14" s="23" t="s">
        <v>25</v>
      </c>
      <c r="C14" s="4" t="s">
        <v>27</v>
      </c>
      <c r="D14" s="12">
        <f>2*D13</f>
        <v>2000</v>
      </c>
      <c r="E14" s="39">
        <f>D14/1000</f>
        <v>2</v>
      </c>
      <c r="F14" s="29" t="s">
        <v>96</v>
      </c>
      <c r="G14" s="30">
        <f>D14*D10</f>
        <v>2000.004700963061</v>
      </c>
      <c r="H14" s="39">
        <f>2*D13*D10/1000</f>
        <v>2.000004700963061</v>
      </c>
      <c r="I14" s="4" t="s">
        <v>70</v>
      </c>
      <c r="J14" s="12">
        <f>G14/D10</f>
        <v>2000</v>
      </c>
      <c r="K14" s="39">
        <f>J14/1000</f>
        <v>2</v>
      </c>
      <c r="L14" s="29" t="s">
        <v>44</v>
      </c>
      <c r="M14" s="30">
        <f>2*M13/(1-M12^2/M11^2)</f>
        <v>2000.0047009630612</v>
      </c>
      <c r="N14" s="39">
        <f>M14/1000</f>
        <v>2.000004700963061</v>
      </c>
      <c r="O14" s="4" t="s">
        <v>52</v>
      </c>
      <c r="P14" s="12">
        <f>M14/D10</f>
        <v>2000.0000000000002</v>
      </c>
      <c r="Q14" s="39">
        <f>(P15+P16)/1000</f>
        <v>2</v>
      </c>
      <c r="R14" s="2"/>
    </row>
    <row r="15" spans="1:18" s="1" customFormat="1" ht="37.5">
      <c r="A15" s="43">
        <v>5</v>
      </c>
      <c r="B15" s="23" t="s">
        <v>13</v>
      </c>
      <c r="C15" s="4" t="s">
        <v>28</v>
      </c>
      <c r="D15" s="12">
        <f>D13</f>
        <v>1000</v>
      </c>
      <c r="E15" s="39">
        <f>D15/100</f>
        <v>10</v>
      </c>
      <c r="F15" s="29" t="s">
        <v>31</v>
      </c>
      <c r="G15" s="30">
        <f>G14/2</f>
        <v>1000.0023504815305</v>
      </c>
      <c r="H15" s="39">
        <f>G15/1000</f>
        <v>1.0000023504815305</v>
      </c>
      <c r="I15" s="4" t="s">
        <v>71</v>
      </c>
      <c r="J15" s="12">
        <f>G15/D10</f>
        <v>1000</v>
      </c>
      <c r="K15" s="39">
        <f>J15/1000</f>
        <v>1</v>
      </c>
      <c r="L15" s="46" t="s">
        <v>97</v>
      </c>
      <c r="M15" s="30">
        <f>M13*1/(1-M12/M11)</f>
        <v>1002.1705221965541</v>
      </c>
      <c r="N15" s="39">
        <f>(M13+M18*M12)/1000</f>
        <v>1.0021705221965542</v>
      </c>
      <c r="O15" s="29" t="s">
        <v>53</v>
      </c>
      <c r="P15" s="30">
        <f>M15/D10</f>
        <v>1002.168166618788</v>
      </c>
      <c r="Q15" s="39">
        <f>P15/1000</f>
        <v>1.002168166618788</v>
      </c>
      <c r="R15" s="3"/>
    </row>
    <row r="16" spans="1:18" s="1" customFormat="1" ht="36" customHeight="1">
      <c r="A16" s="43">
        <v>6</v>
      </c>
      <c r="B16" s="23" t="s">
        <v>14</v>
      </c>
      <c r="C16" s="4" t="s">
        <v>29</v>
      </c>
      <c r="D16" s="12">
        <f>D13</f>
        <v>1000</v>
      </c>
      <c r="E16" s="39">
        <f>D16/1000</f>
        <v>1</v>
      </c>
      <c r="F16" s="29" t="s">
        <v>32</v>
      </c>
      <c r="G16" s="30">
        <f>G14/2</f>
        <v>1000.0023504815305</v>
      </c>
      <c r="H16" s="39">
        <f>G16/1000</f>
        <v>1.0000023504815305</v>
      </c>
      <c r="I16" s="4" t="s">
        <v>72</v>
      </c>
      <c r="J16" s="12">
        <f>G16/D10</f>
        <v>1000</v>
      </c>
      <c r="K16" s="39">
        <f>J16/1000</f>
        <v>1</v>
      </c>
      <c r="L16" s="46" t="s">
        <v>98</v>
      </c>
      <c r="M16" s="30">
        <f>M13*1/(1+M12/M11)</f>
        <v>997.834178766507</v>
      </c>
      <c r="N16" s="39">
        <f>(M13-M19*M12)/1000</f>
        <v>0.9978341787665069</v>
      </c>
      <c r="O16" s="29" t="s">
        <v>54</v>
      </c>
      <c r="P16" s="30">
        <f>M16/D10</f>
        <v>997.831833381212</v>
      </c>
      <c r="Q16" s="39">
        <f>P16/1000</f>
        <v>0.9978318333812121</v>
      </c>
      <c r="R16" s="2"/>
    </row>
    <row r="17" spans="1:17" s="1" customFormat="1" ht="56.25">
      <c r="A17" s="43">
        <v>7</v>
      </c>
      <c r="B17" s="23" t="s">
        <v>88</v>
      </c>
      <c r="C17" s="4" t="s">
        <v>99</v>
      </c>
      <c r="D17" s="14">
        <f>2*D13/D11</f>
        <v>6.671281903963041E-06</v>
      </c>
      <c r="E17" s="41">
        <f>D17*1000000</f>
        <v>6.671281903963041</v>
      </c>
      <c r="F17" s="29" t="s">
        <v>37</v>
      </c>
      <c r="G17" s="32">
        <f>D17*D10</f>
        <v>6.671297584687941E-06</v>
      </c>
      <c r="H17" s="40">
        <f>G14/G11*1000000</f>
        <v>6.671297584687942</v>
      </c>
      <c r="I17" s="4" t="s">
        <v>73</v>
      </c>
      <c r="J17" s="14">
        <f>G17/D10</f>
        <v>6.671281903963041E-06</v>
      </c>
      <c r="K17" s="41">
        <f>J14/J11*1000000</f>
        <v>6.671281903963041</v>
      </c>
      <c r="L17" s="46" t="s">
        <v>100</v>
      </c>
      <c r="M17" s="32">
        <f>2*M13/M11*1/(1-M12^2/M11^2)</f>
        <v>6.671297584687942E-06</v>
      </c>
      <c r="N17" s="40">
        <f>(2*D13/M11*D10)*1000000</f>
        <v>6.671297584687942</v>
      </c>
      <c r="O17" s="4" t="s">
        <v>46</v>
      </c>
      <c r="P17" s="14">
        <f>M17/D10</f>
        <v>6.671281903963042E-06</v>
      </c>
      <c r="Q17" s="41">
        <f>P17*1000000</f>
        <v>6.671281903963042</v>
      </c>
    </row>
    <row r="18" spans="1:17" s="1" customFormat="1" ht="36" customHeight="1">
      <c r="A18" s="43">
        <v>8</v>
      </c>
      <c r="B18" s="23" t="s">
        <v>15</v>
      </c>
      <c r="C18" s="4" t="s">
        <v>84</v>
      </c>
      <c r="D18" s="14">
        <f>D14/(2*D11)</f>
        <v>3.3356409519815205E-06</v>
      </c>
      <c r="E18" s="41">
        <f>D18*1000000</f>
        <v>3.3356409519815204</v>
      </c>
      <c r="F18" s="29" t="s">
        <v>58</v>
      </c>
      <c r="G18" s="32">
        <f>G17/2</f>
        <v>3.3356487923439706E-06</v>
      </c>
      <c r="H18" s="40">
        <f>G18*1000000</f>
        <v>3.335648792343971</v>
      </c>
      <c r="I18" s="4" t="s">
        <v>74</v>
      </c>
      <c r="J18" s="14">
        <f>G18/D10</f>
        <v>3.3356409519815205E-06</v>
      </c>
      <c r="K18" s="41">
        <f>J18*1000000</f>
        <v>3.3356409519815204</v>
      </c>
      <c r="L18" s="29" t="s">
        <v>101</v>
      </c>
      <c r="M18" s="32">
        <f>M15/M11</f>
        <v>3.342881034707531E-06</v>
      </c>
      <c r="N18" s="40">
        <f>M13/(M11-M12)*1000000</f>
        <v>3.3428810347075317</v>
      </c>
      <c r="O18" s="29" t="s">
        <v>47</v>
      </c>
      <c r="P18" s="32">
        <f>M18/D10</f>
        <v>3.3428731773458688E-06</v>
      </c>
      <c r="Q18" s="40">
        <f>P18*1000000</f>
        <v>3.3428731773458686</v>
      </c>
    </row>
    <row r="19" spans="1:17" s="1" customFormat="1" ht="36" customHeight="1">
      <c r="A19" s="43">
        <v>9</v>
      </c>
      <c r="B19" s="23" t="s">
        <v>20</v>
      </c>
      <c r="C19" s="4" t="s">
        <v>85</v>
      </c>
      <c r="D19" s="14">
        <f>D14/(2*D11)</f>
        <v>3.3356409519815205E-06</v>
      </c>
      <c r="E19" s="41">
        <f>D19*1000000</f>
        <v>3.3356409519815204</v>
      </c>
      <c r="F19" s="29" t="s">
        <v>59</v>
      </c>
      <c r="G19" s="32">
        <f>G17/2</f>
        <v>3.3356487923439706E-06</v>
      </c>
      <c r="H19" s="40">
        <f>G19*1000000</f>
        <v>3.335648792343971</v>
      </c>
      <c r="I19" s="4" t="s">
        <v>75</v>
      </c>
      <c r="J19" s="14">
        <f>G19/D10</f>
        <v>3.3356409519815205E-06</v>
      </c>
      <c r="K19" s="41">
        <f>J19*1000000</f>
        <v>3.3356409519815204</v>
      </c>
      <c r="L19" s="29" t="s">
        <v>102</v>
      </c>
      <c r="M19" s="32">
        <f>M16/M11</f>
        <v>3.32841654998041E-06</v>
      </c>
      <c r="N19" s="40">
        <f>M13/(M11+M12)*1000000</f>
        <v>3.32841654998041</v>
      </c>
      <c r="O19" s="29" t="s">
        <v>48</v>
      </c>
      <c r="P19" s="32">
        <f>M19/D10</f>
        <v>3.328408726617172E-06</v>
      </c>
      <c r="Q19" s="40">
        <f>P19*1000000</f>
        <v>3.3284087266171722</v>
      </c>
    </row>
    <row r="20" spans="1:17" s="1" customFormat="1" ht="36" customHeight="1">
      <c r="A20" s="43">
        <v>10</v>
      </c>
      <c r="B20" s="23" t="s">
        <v>42</v>
      </c>
      <c r="C20" s="4" t="s">
        <v>43</v>
      </c>
      <c r="D20" s="5">
        <f>D11</f>
        <v>299792458</v>
      </c>
      <c r="E20" s="6">
        <f>ROUND(D20/1000000,0)*1000</f>
        <v>300000</v>
      </c>
      <c r="F20" s="29" t="s">
        <v>62</v>
      </c>
      <c r="G20" s="34">
        <f>2*G13/G17</f>
        <v>299791753.3450208</v>
      </c>
      <c r="H20" s="45">
        <f>G20/G11</f>
        <v>0.9999976495239943</v>
      </c>
      <c r="I20" s="4" t="s">
        <v>80</v>
      </c>
      <c r="J20" s="5">
        <f>2*J13/J17</f>
        <v>299792458</v>
      </c>
      <c r="K20" s="6">
        <f>ROUND(J20/1000000,0)*1000</f>
        <v>300000</v>
      </c>
      <c r="L20" s="29" t="s">
        <v>45</v>
      </c>
      <c r="M20" s="34">
        <f>2*M13/M17</f>
        <v>299791048.6916978</v>
      </c>
      <c r="N20" s="45">
        <f>M20/M11</f>
        <v>0.9999952990535131</v>
      </c>
      <c r="O20" s="4" t="s">
        <v>51</v>
      </c>
      <c r="P20" s="5">
        <f>2*P13/P17</f>
        <v>299792457.99999994</v>
      </c>
      <c r="Q20" s="6">
        <f>ROUND(P20/1000000,0)*1000</f>
        <v>300000</v>
      </c>
    </row>
    <row r="21" spans="1:17" s="1" customFormat="1" ht="36" customHeight="1">
      <c r="A21" s="43">
        <v>11</v>
      </c>
      <c r="B21" s="23" t="s">
        <v>16</v>
      </c>
      <c r="C21" s="4" t="s">
        <v>81</v>
      </c>
      <c r="D21" s="5">
        <f>D11</f>
        <v>299792458</v>
      </c>
      <c r="E21" s="6">
        <f>E11</f>
        <v>300000</v>
      </c>
      <c r="F21" s="29" t="s">
        <v>60</v>
      </c>
      <c r="G21" s="34">
        <f>G13/G18</f>
        <v>299791753.3450208</v>
      </c>
      <c r="H21" s="45">
        <f>G21/G11</f>
        <v>0.9999976495239943</v>
      </c>
      <c r="I21" s="4" t="s">
        <v>76</v>
      </c>
      <c r="J21" s="5">
        <f>J13/J18</f>
        <v>299792458</v>
      </c>
      <c r="K21" s="6">
        <f>ROUND(J21/1000000,0)*1000</f>
        <v>300000</v>
      </c>
      <c r="L21" s="29" t="s">
        <v>40</v>
      </c>
      <c r="M21" s="34">
        <f>M13/M18</f>
        <v>299142458</v>
      </c>
      <c r="N21" s="45">
        <f>M21/M11</f>
        <v>0.9978318333812121</v>
      </c>
      <c r="O21" s="29" t="s">
        <v>49</v>
      </c>
      <c r="P21" s="34">
        <f>P13/P18</f>
        <v>299143864.2592978</v>
      </c>
      <c r="Q21" s="45">
        <f>P21/P11</f>
        <v>0.9978365241573148</v>
      </c>
    </row>
    <row r="22" spans="1:17" s="1" customFormat="1" ht="36" customHeight="1">
      <c r="A22" s="43">
        <v>12</v>
      </c>
      <c r="B22" s="23" t="s">
        <v>17</v>
      </c>
      <c r="C22" s="4" t="s">
        <v>82</v>
      </c>
      <c r="D22" s="5">
        <f>D11</f>
        <v>299792458</v>
      </c>
      <c r="E22" s="6">
        <f>E11</f>
        <v>300000</v>
      </c>
      <c r="F22" s="29" t="s">
        <v>61</v>
      </c>
      <c r="G22" s="34">
        <f>G13/G19</f>
        <v>299791753.3450208</v>
      </c>
      <c r="H22" s="45">
        <f>G22/G11</f>
        <v>0.9999976495239943</v>
      </c>
      <c r="I22" s="4" t="s">
        <v>77</v>
      </c>
      <c r="J22" s="5">
        <f>J13/J19</f>
        <v>299792458</v>
      </c>
      <c r="K22" s="6">
        <f>ROUND(J22/1000000,0)*1000</f>
        <v>300000</v>
      </c>
      <c r="L22" s="29" t="s">
        <v>41</v>
      </c>
      <c r="M22" s="34">
        <f>M13/M19</f>
        <v>300442458</v>
      </c>
      <c r="N22" s="45">
        <f>M22/M11</f>
        <v>1.002168166618788</v>
      </c>
      <c r="O22" s="29" t="s">
        <v>103</v>
      </c>
      <c r="P22" s="34">
        <f>P13/P19</f>
        <v>300443870.3705569</v>
      </c>
      <c r="Q22" s="45">
        <f>P22/P11</f>
        <v>1.0021728777798569</v>
      </c>
    </row>
    <row r="23" spans="1:17" s="1" customFormat="1" ht="36" customHeight="1">
      <c r="A23" s="43">
        <v>13</v>
      </c>
      <c r="B23" s="23" t="s">
        <v>83</v>
      </c>
      <c r="C23" s="4" t="s">
        <v>36</v>
      </c>
      <c r="D23" s="4">
        <f>D11/D27</f>
        <v>499654096666666.7</v>
      </c>
      <c r="E23" s="10">
        <f>D23/1000000000000</f>
        <v>499.6540966666667</v>
      </c>
      <c r="F23" s="29" t="s">
        <v>38</v>
      </c>
      <c r="G23" s="29">
        <f>D23/D10</f>
        <v>499652922241701.3</v>
      </c>
      <c r="H23" s="35">
        <f>G23/1000000000000</f>
        <v>499.65292224170133</v>
      </c>
      <c r="I23" s="4" t="s">
        <v>78</v>
      </c>
      <c r="J23" s="4">
        <f>D23</f>
        <v>499654096666666.7</v>
      </c>
      <c r="K23" s="10">
        <f>J23/1000000000000</f>
        <v>499.6540966666667</v>
      </c>
      <c r="L23" s="29" t="s">
        <v>39</v>
      </c>
      <c r="M23" s="29">
        <f>D23/D10</f>
        <v>499652922241701.3</v>
      </c>
      <c r="N23" s="35">
        <f>M23/1000000000000</f>
        <v>499.65292224170133</v>
      </c>
      <c r="O23" s="4" t="s">
        <v>50</v>
      </c>
      <c r="P23" s="4">
        <f>D23</f>
        <v>499654096666666.7</v>
      </c>
      <c r="Q23" s="10">
        <f>P23/1000000000000</f>
        <v>499.6540966666667</v>
      </c>
    </row>
    <row r="24" spans="1:17" s="1" customFormat="1" ht="37.5">
      <c r="A24" s="43">
        <v>14</v>
      </c>
      <c r="B24" s="23" t="s">
        <v>19</v>
      </c>
      <c r="C24" s="4" t="s">
        <v>104</v>
      </c>
      <c r="D24" s="16">
        <f>D23*D17</f>
        <v>3333333333.3333335</v>
      </c>
      <c r="E24" s="17"/>
      <c r="F24" s="4" t="s">
        <v>105</v>
      </c>
      <c r="G24" s="16">
        <f>G23*G17</f>
        <v>3333333333.3333335</v>
      </c>
      <c r="H24" s="17"/>
      <c r="I24" s="4" t="s">
        <v>79</v>
      </c>
      <c r="J24" s="16">
        <f>J25+J26</f>
        <v>3333333333.3333335</v>
      </c>
      <c r="K24" s="17"/>
      <c r="L24" s="48" t="s">
        <v>106</v>
      </c>
      <c r="M24" s="16">
        <f>D23*D14/D11</f>
        <v>3333333333.3333335</v>
      </c>
      <c r="N24" s="17"/>
      <c r="O24" s="4" t="s">
        <v>55</v>
      </c>
      <c r="P24" s="16">
        <f>P25+P26</f>
        <v>3333333333.3333335</v>
      </c>
      <c r="Q24" s="17"/>
    </row>
    <row r="25" spans="1:17" s="1" customFormat="1" ht="36" customHeight="1">
      <c r="A25" s="43">
        <v>15</v>
      </c>
      <c r="B25" s="23" t="s">
        <v>22</v>
      </c>
      <c r="C25" s="4" t="s">
        <v>86</v>
      </c>
      <c r="D25" s="16">
        <f>D23*D18</f>
        <v>1666666666.6666667</v>
      </c>
      <c r="E25" s="17"/>
      <c r="F25" s="29" t="s">
        <v>63</v>
      </c>
      <c r="G25" s="36">
        <f>G23*G15/G11</f>
        <v>1666666666.6666667</v>
      </c>
      <c r="H25" s="17"/>
      <c r="I25" s="4" t="s">
        <v>107</v>
      </c>
      <c r="J25" s="16">
        <f>J23*J15/J11</f>
        <v>1666666666.6666667</v>
      </c>
      <c r="K25" s="17"/>
      <c r="L25" s="46" t="s">
        <v>93</v>
      </c>
      <c r="M25" s="36">
        <f>M23*M15/M11</f>
        <v>1670280277.6979802</v>
      </c>
      <c r="N25" s="17"/>
      <c r="O25" s="46" t="s">
        <v>92</v>
      </c>
      <c r="P25" s="36">
        <f>P23*P15/P11</f>
        <v>1670280277.69798</v>
      </c>
      <c r="Q25" s="17"/>
    </row>
    <row r="26" spans="1:17" s="1" customFormat="1" ht="36" customHeight="1">
      <c r="A26" s="43">
        <v>16</v>
      </c>
      <c r="B26" s="23" t="s">
        <v>23</v>
      </c>
      <c r="C26" s="4" t="s">
        <v>87</v>
      </c>
      <c r="D26" s="16">
        <f>D23*D19</f>
        <v>1666666666.6666667</v>
      </c>
      <c r="E26" s="17"/>
      <c r="F26" s="29" t="s">
        <v>64</v>
      </c>
      <c r="G26" s="36">
        <f>G23*G16/G11</f>
        <v>1666666666.6666667</v>
      </c>
      <c r="H26" s="17"/>
      <c r="I26" s="4" t="s">
        <v>108</v>
      </c>
      <c r="J26" s="16">
        <f>J23*J16/J11</f>
        <v>1666666666.6666667</v>
      </c>
      <c r="K26" s="17"/>
      <c r="L26" s="46" t="s">
        <v>94</v>
      </c>
      <c r="M26" s="36">
        <f>M23*M16/M11</f>
        <v>1663053055.6353536</v>
      </c>
      <c r="N26" s="17"/>
      <c r="O26" s="46" t="s">
        <v>91</v>
      </c>
      <c r="P26" s="36">
        <f>P23*P16/P11</f>
        <v>1663053055.6353536</v>
      </c>
      <c r="Q26" s="17"/>
    </row>
    <row r="27" spans="1:17" s="1" customFormat="1" ht="36" customHeight="1">
      <c r="A27" s="43">
        <v>17</v>
      </c>
      <c r="B27" s="23" t="s">
        <v>18</v>
      </c>
      <c r="C27" s="7" t="s">
        <v>34</v>
      </c>
      <c r="D27" s="52">
        <v>6E-07</v>
      </c>
      <c r="E27" s="9">
        <f>D27*1000000000</f>
        <v>600</v>
      </c>
      <c r="F27" s="37" t="s">
        <v>65</v>
      </c>
      <c r="G27" s="29">
        <f>G15/G25</f>
        <v>6.000014102889183E-07</v>
      </c>
      <c r="H27" s="38">
        <f>G27*1000000000</f>
        <v>600.0014102889182</v>
      </c>
      <c r="I27" s="7" t="s">
        <v>109</v>
      </c>
      <c r="J27" s="4">
        <f>J15/J25</f>
        <v>6E-07</v>
      </c>
      <c r="K27" s="9">
        <f>J27*1000000000</f>
        <v>600</v>
      </c>
      <c r="L27" s="37" t="s">
        <v>67</v>
      </c>
      <c r="M27" s="29">
        <f>M15/M25</f>
        <v>6.000014102889183E-07</v>
      </c>
      <c r="N27" s="38">
        <f>M27*1000000000</f>
        <v>600.0014102889182</v>
      </c>
      <c r="O27" s="7" t="s">
        <v>56</v>
      </c>
      <c r="P27" s="8">
        <f>P15/P25</f>
        <v>6E-07</v>
      </c>
      <c r="Q27" s="9">
        <f>P27*1000000000</f>
        <v>600</v>
      </c>
    </row>
    <row r="28" spans="1:17" s="1" customFormat="1" ht="36" customHeight="1">
      <c r="A28" s="43">
        <v>18</v>
      </c>
      <c r="B28" s="23" t="s">
        <v>21</v>
      </c>
      <c r="C28" s="7" t="s">
        <v>35</v>
      </c>
      <c r="D28" s="8">
        <f>D27</f>
        <v>6E-07</v>
      </c>
      <c r="E28" s="9">
        <f>D28*1000000000</f>
        <v>600</v>
      </c>
      <c r="F28" s="37" t="s">
        <v>66</v>
      </c>
      <c r="G28" s="29">
        <f>D28*D10</f>
        <v>6.000014102889183E-07</v>
      </c>
      <c r="H28" s="38">
        <f>G28*1000000000</f>
        <v>600.0014102889182</v>
      </c>
      <c r="I28" s="7" t="s">
        <v>110</v>
      </c>
      <c r="J28" s="4">
        <f>J16/J26</f>
        <v>6E-07</v>
      </c>
      <c r="K28" s="9">
        <f>J28*1000000000</f>
        <v>600</v>
      </c>
      <c r="L28" s="37" t="s">
        <v>68</v>
      </c>
      <c r="M28" s="29">
        <f>M16/M26</f>
        <v>6.000014102889183E-07</v>
      </c>
      <c r="N28" s="38">
        <f>M28*1000000000</f>
        <v>600.0014102889182</v>
      </c>
      <c r="O28" s="7" t="s">
        <v>57</v>
      </c>
      <c r="P28" s="8">
        <f>P16/P26</f>
        <v>6E-07</v>
      </c>
      <c r="Q28" s="9">
        <f>P28*1000000000</f>
        <v>600</v>
      </c>
    </row>
  </sheetData>
  <sheetProtection password="CF10" sheet="1" objects="1" scenarios="1"/>
  <mergeCells count="8">
    <mergeCell ref="C6:E8"/>
    <mergeCell ref="F8:H8"/>
    <mergeCell ref="I8:K8"/>
    <mergeCell ref="F6:Q6"/>
    <mergeCell ref="L8:N8"/>
    <mergeCell ref="O8:Q8"/>
    <mergeCell ref="F7:K7"/>
    <mergeCell ref="L7:Q7"/>
  </mergeCells>
  <printOptions/>
  <pageMargins left="0.75" right="0.75" top="1" bottom="1" header="0.4921259845" footer="0.4921259845"/>
  <pageSetup horizontalDpi="600" verticalDpi="600" orientation="landscape" paperSize="9" scale="4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Transformationstabelle zum Relativitäts-Äther-Dualismus</dc:title>
  <dc:subject/>
  <dc:creator>Andreas Varesi</dc:creator>
  <cp:keywords/>
  <dc:description/>
  <cp:lastModifiedBy>VA033842</cp:lastModifiedBy>
  <cp:lastPrinted>2005-01-24T18:22:50Z</cp:lastPrinted>
  <dcterms:created xsi:type="dcterms:W3CDTF">2004-12-28T13:01:00Z</dcterms:created>
  <dcterms:modified xsi:type="dcterms:W3CDTF">2005-05-23T19:57:22Z</dcterms:modified>
  <cp:category/>
  <cp:version/>
  <cp:contentType/>
  <cp:contentStatus/>
</cp:coreProperties>
</file>